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12 Diciembre\"/>
    </mc:Choice>
  </mc:AlternateContent>
  <bookViews>
    <workbookView xWindow="0" yWindow="0" windowWidth="20490" windowHeight="7755" activeTab="1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I57" i="1" l="1"/>
  <c r="F57" i="1"/>
  <c r="H57" i="1"/>
  <c r="E57" i="1"/>
  <c r="G15" i="1" l="1"/>
  <c r="F58" i="6" l="1"/>
  <c r="F29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56" i="2" s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S24" i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<sst xmlns="http://schemas.openxmlformats.org/spreadsheetml/2006/main" count="308" uniqueCount="132">
  <si>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</si>
  <si>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</si>
  <si>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</si>
  <si>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</si>
  <si>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</si>
  <si>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</si>
  <si>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</si>
  <si>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</si>
  <si>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</si>
  <si>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</si>
  <si>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</si>
  <si>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</si>
  <si>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</si>
  <si>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</si>
  <si>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</si>
  <si>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</si>
  <si>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</si>
  <si>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</si>
  <si>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</si>
  <si>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</si>
  <si>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</si>
  <si>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</si>
  <si>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</si>
  <si>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</si>
  <si>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</si>
  <si>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</si>
  <si>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</si>
  <si>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</si>
  <si>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</si>
  <si>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</si>
  <si>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</si>
  <si>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</si>
  <si>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</si>
  <si>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</si>
  <si>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</si>
  <si>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</si>
  <si>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</si>
  <si>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</si>
  <si>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</si>
  <si>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</si>
  <si>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</si>
  <si>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</si>
  <si>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</si>
  <si>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</si>
  <si>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</si>
  <si>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</si>
  <si>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</si>
  <si>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</si>
  <si>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</si>
  <si>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</si>
  <si>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</si>
  <si>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</si>
  <si>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</si>
  <si>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</si>
  <si>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</si>
  <si>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</si>
  <si>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</si>
  <si>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</si>
  <si>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</si>
  <si>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</si>
  <si>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</si>
  <si>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</si>
  <si>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</si>
  <si>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</si>
  <si>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</si>
  <si>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</si>
  <si>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</si>
  <si>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</si>
  <si>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</si>
  <si>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</si>
  <si>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</si>
  <si>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</si>
  <si>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</si>
  <si>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</si>
  <si>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</si>
  <si>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</si>
  <si>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</si>
  <si>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</si>
  <si>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</si>
  <si>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</si>
  <si>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</si>
  <si>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</si>
  <si>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</si>
  <si>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</si>
  <si>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</si>
  <si>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</si>
  <si>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</si>
  <si>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</si>
  <si>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</si>
  <si>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</si>
  <si>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</si>
  <si>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</si>
  <si>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</si>
  <si>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</si>
  <si>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</si>
  <si>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</si>
  <si>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</si>
  <si>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</si>
  <si>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</si>
  <si>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</si>
  <si>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</si>
  <si>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</si>
  <si>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</si>
  <si>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</si>
  <si>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</si>
  <si>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</si>
  <si>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</si>
  <si>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</si>
  <si>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</si>
  <si>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</si>
  <si>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</si>
  <si>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</si>
  <si>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</si>
  <si>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</si>
  <si>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</si>
  <si>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</si>
  <si>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</si>
  <si>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</si>
  <si>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</si>
  <si>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</si>
  <si>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</si>
  <si>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</si>
  <si>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</si>
  <si>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</si>
  <si>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</si>
  <si>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NOVIEMBRE 2020</t>
  </si>
  <si>
    <t>Noviembre</t>
  </si>
  <si>
    <t>Enero - Noviembre</t>
  </si>
  <si>
    <t>Grafico N° 11: Generación de energía eléctrica por Región, al mes de noviembre 2020</t>
  </si>
  <si>
    <t>Cuadro N° 8: Producción de energía eléctrica nacional por zona del país, al mes de noviembre</t>
  </si>
  <si>
    <t>3.2 Producción de energía eléctrica (GWh) por origen y zona al mes de noviembre 2020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</si>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</sst>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178" fontId="96" fillId="68" borderId="30" xfId="33743" applyNumberFormat="1" applyFont="1" applyFill="1" applyBorder="1" applyAlignment="1">
      <alignment horizontal="center"/>
    </xf>
    <xf numFmtId="43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5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0" fillId="68" borderId="110" xfId="0" applyNumberFormat="1" applyFill="1" applyBorder="1"/>
    <xf numFmtId="3" fontId="0" fillId="68" borderId="119" xfId="0" applyNumberFormat="1" applyFill="1" applyBorder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  <xf numFmtId="167" fontId="0" fillId="68" borderId="28" xfId="0" applyNumberFormat="1" applyFill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68" borderId="40" xfId="33744" applyNumberFormat="1" applyFont="1" applyFill="1" applyBorder="1"/>
    <xf numFmtId="178" fontId="96" fillId="68" borderId="98" xfId="33743" applyNumberFormat="1" applyFont="1" applyFill="1" applyBorder="1" applyAlignment="1">
      <alignment horizontal="center"/>
    </xf>
    <xf numFmtId="43" fontId="0" fillId="68" borderId="114" xfId="33744" applyNumberFormat="1" applyFont="1" applyFill="1" applyBorder="1"/>
    <xf numFmtId="3" fontId="0" fillId="68" borderId="108" xfId="0" applyNumberFormat="1" applyFill="1" applyBorder="1"/>
    <xf numFmtId="4" fontId="99" fillId="0" borderId="26" xfId="0" applyNumberFormat="1" applyFont="1" applyBorder="1"/>
    <xf numFmtId="4" fontId="99" fillId="0" borderId="55" xfId="0" applyNumberFormat="1" applyFont="1" applyBorder="1"/>
    <xf numFmtId="178" fontId="98" fillId="0" borderId="16" xfId="33743" applyNumberFormat="1" applyFont="1" applyBorder="1"/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Noviembre 2020</a:t>
            </a:r>
          </a:p>
          <a:p>
            <a:pPr>
              <a:defRPr sz="800" b="1"/>
            </a:pPr>
            <a:r>
              <a:rPr lang="es-PE" sz="800" b="1"/>
              <a:t>Total : 4 727 GWh</a:t>
            </a:r>
          </a:p>
        </c:rich>
      </c:tx>
      <c:layout>
        <c:manualLayout>
          <c:xMode val="edge"/>
          <c:yMode val="edge"/>
          <c:x val="0.15346189164370982"/>
          <c:y val="3.572185333600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55.585841992263752</c:v>
                </c:pt>
                <c:pt idx="1">
                  <c:v>162.3978520950451</c:v>
                </c:pt>
                <c:pt idx="2">
                  <c:v>1803.74129703515</c:v>
                </c:pt>
                <c:pt idx="3">
                  <c:v>2467.3466273962995</c:v>
                </c:pt>
                <c:pt idx="4">
                  <c:v>238.28776698500008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1516.0947742653827</c:v>
                </c:pt>
                <c:pt idx="2" formatCode="_(* #,##0.00_);_(* \(#,##0.00\);_(* &quot;-&quot;??_);_(@_)">
                  <c:v>6.4619999999999999E-3</c:v>
                </c:pt>
                <c:pt idx="3">
                  <c:v>2341.9652763318913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65.113344075000001</c:v>
                </c:pt>
                <c:pt idx="1">
                  <c:v>275.9327933964924</c:v>
                </c:pt>
                <c:pt idx="2">
                  <c:v>81.511218932500057</c:v>
                </c:pt>
                <c:pt idx="3">
                  <c:v>106.34764702928294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37.446956003190685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3858.0665125972741</c:v>
                </c:pt>
                <c:pt idx="1">
                  <c:v>528.9050034332754</c:v>
                </c:pt>
                <c:pt idx="2">
                  <c:v>302.94091347001853</c:v>
                </c:pt>
                <c:pt idx="3">
                  <c:v>37.446956003190685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5046768"/>
        <c:axId val="425047552"/>
      </c:barChart>
      <c:catAx>
        <c:axId val="42504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047552"/>
        <c:crosses val="autoZero"/>
        <c:auto val="1"/>
        <c:lblAlgn val="ctr"/>
        <c:lblOffset val="100"/>
        <c:noMultiLvlLbl val="0"/>
      </c:catAx>
      <c:valAx>
        <c:axId val="4250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04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CUSCO</c:v>
                </c:pt>
                <c:pt idx="4">
                  <c:v>ANCASH</c:v>
                </c:pt>
                <c:pt idx="5">
                  <c:v>JUNIN</c:v>
                </c:pt>
                <c:pt idx="6">
                  <c:v>PIURA</c:v>
                </c:pt>
                <c:pt idx="7">
                  <c:v>LA LIBERTAD</c:v>
                </c:pt>
                <c:pt idx="8">
                  <c:v>ICA</c:v>
                </c:pt>
                <c:pt idx="9">
                  <c:v>AREQUIPA</c:v>
                </c:pt>
                <c:pt idx="10">
                  <c:v>HUANUCO</c:v>
                </c:pt>
                <c:pt idx="11">
                  <c:v>MOQUEGUA</c:v>
                </c:pt>
                <c:pt idx="12">
                  <c:v>PUNO</c:v>
                </c:pt>
                <c:pt idx="13">
                  <c:v>UCAYALI</c:v>
                </c:pt>
                <c:pt idx="14">
                  <c:v>CAJAMARCA</c:v>
                </c:pt>
                <c:pt idx="15">
                  <c:v>LORETO</c:v>
                </c:pt>
                <c:pt idx="16">
                  <c:v>PASCO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2421.1250742680904</c:v>
                </c:pt>
                <c:pt idx="1">
                  <c:v>642.24870860561998</c:v>
                </c:pt>
                <c:pt idx="2">
                  <c:v>339.35967263447742</c:v>
                </c:pt>
                <c:pt idx="3">
                  <c:v>163.21819100850001</c:v>
                </c:pt>
                <c:pt idx="4">
                  <c:v>147.68388325741969</c:v>
                </c:pt>
                <c:pt idx="5">
                  <c:v>143.50149830500001</c:v>
                </c:pt>
                <c:pt idx="6">
                  <c:v>135.88148561413556</c:v>
                </c:pt>
                <c:pt idx="7">
                  <c:v>114.84721106840725</c:v>
                </c:pt>
                <c:pt idx="8">
                  <c:v>104.35874529833332</c:v>
                </c:pt>
                <c:pt idx="9">
                  <c:v>91.686701379358723</c:v>
                </c:pt>
                <c:pt idx="10">
                  <c:v>80.796845414166626</c:v>
                </c:pt>
                <c:pt idx="11">
                  <c:v>77.033439304166706</c:v>
                </c:pt>
                <c:pt idx="12">
                  <c:v>60.446450755000022</c:v>
                </c:pt>
                <c:pt idx="13">
                  <c:v>45.994211564166676</c:v>
                </c:pt>
                <c:pt idx="14">
                  <c:v>40.697520481979936</c:v>
                </c:pt>
                <c:pt idx="15">
                  <c:v>37.446956003190685</c:v>
                </c:pt>
                <c:pt idx="16">
                  <c:v>37.356618548333337</c:v>
                </c:pt>
                <c:pt idx="17">
                  <c:v>27.552662306666665</c:v>
                </c:pt>
                <c:pt idx="18">
                  <c:v>4.6087752841666676</c:v>
                </c:pt>
                <c:pt idx="19">
                  <c:v>3.0646093546624478</c:v>
                </c:pt>
                <c:pt idx="20">
                  <c:v>2.7407636666666662</c:v>
                </c:pt>
                <c:pt idx="21">
                  <c:v>2.6289930000000004</c:v>
                </c:pt>
                <c:pt idx="22">
                  <c:v>1.1005480000000003</c:v>
                </c:pt>
                <c:pt idx="23">
                  <c:v>1.0051386666666666</c:v>
                </c:pt>
                <c:pt idx="24">
                  <c:v>0.97468171458333341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25053040"/>
        <c:axId val="425048336"/>
      </c:barChart>
      <c:catAx>
        <c:axId val="42505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5048336"/>
        <c:crosses val="autoZero"/>
        <c:auto val="1"/>
        <c:lblAlgn val="ctr"/>
        <c:lblOffset val="100"/>
        <c:noMultiLvlLbl val="0"/>
      </c:catAx>
      <c:valAx>
        <c:axId val="42504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5053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2619.7155991473624</c:v>
                </c:pt>
                <c:pt idx="1">
                  <c:v>1925.409008122683</c:v>
                </c:pt>
                <c:pt idx="2">
                  <c:v>129.15548200000001</c:v>
                </c:pt>
                <c:pt idx="3">
                  <c:v>75.187049000000016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1859.3271390274138</c:v>
                </c:pt>
                <c:pt idx="1">
                  <c:v>2629.7444794913445</c:v>
                </c:pt>
                <c:pt idx="2">
                  <c:v>156.77008605250003</c:v>
                </c:pt>
                <c:pt idx="3">
                  <c:v>81.517680932500056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611632"/>
        <c:axId val="490613984"/>
      </c:barChart>
      <c:catAx>
        <c:axId val="49061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3984"/>
        <c:crosses val="autoZero"/>
        <c:auto val="1"/>
        <c:lblAlgn val="ctr"/>
        <c:lblOffset val="100"/>
        <c:noMultiLvlLbl val="0"/>
      </c:catAx>
      <c:valAx>
        <c:axId val="4906139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224.60003354936291</c:v>
                </c:pt>
                <c:pt idx="1">
                  <c:v>207.67413313817639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4524.8671047206817</c:v>
                </c:pt>
                <c:pt idx="1">
                  <c:v>4519.6852523655816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609672"/>
        <c:axId val="490611240"/>
        <c:axId val="827514952"/>
      </c:bar3DChart>
      <c:catAx>
        <c:axId val="49060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1240"/>
        <c:crosses val="autoZero"/>
        <c:auto val="1"/>
        <c:lblAlgn val="ctr"/>
        <c:lblOffset val="100"/>
        <c:noMultiLvlLbl val="0"/>
      </c:catAx>
      <c:valAx>
        <c:axId val="49061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09672"/>
        <c:crosses val="autoZero"/>
        <c:crossBetween val="between"/>
      </c:valAx>
      <c:serAx>
        <c:axId val="827514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12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2432.8214603398624</c:v>
                </c:pt>
                <c:pt idx="1">
                  <c:v>1744.7264445049138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1875.3276141226834</c:v>
                </c:pt>
                <c:pt idx="1">
                  <c:v>2569.6114559178086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186.8941388075001</c:v>
                </c:pt>
                <c:pt idx="1">
                  <c:v>114.60069452249995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254.42392500000003</c:v>
                </c:pt>
                <c:pt idx="1">
                  <c:v>298.42079055853588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0614376"/>
        <c:axId val="490615944"/>
        <c:axId val="0"/>
      </c:bar3DChart>
      <c:catAx>
        <c:axId val="49061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5944"/>
        <c:crosses val="autoZero"/>
        <c:auto val="1"/>
        <c:lblAlgn val="ctr"/>
        <c:lblOffset val="100"/>
        <c:noMultiLvlLbl val="0"/>
      </c:catAx>
      <c:valAx>
        <c:axId val="49061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1437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1859.3271390274138</c:v>
                </c:pt>
                <c:pt idx="1">
                  <c:v>2469.0873082256048</c:v>
                </c:pt>
                <c:pt idx="2">
                  <c:v>100.22354973149504</c:v>
                </c:pt>
                <c:pt idx="3">
                  <c:v>60.133023573535809</c:v>
                </c:pt>
                <c:pt idx="4">
                  <c:v>156.77008605250003</c:v>
                </c:pt>
                <c:pt idx="5">
                  <c:v>81.517680932500056</c:v>
                </c:pt>
                <c:pt idx="6" formatCode="#,##0.0">
                  <c:v>0.30059796070800382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0622216"/>
        <c:axId val="490624176"/>
      </c:barChart>
      <c:catAx>
        <c:axId val="49062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24176"/>
        <c:crosses val="autoZero"/>
        <c:auto val="1"/>
        <c:lblAlgn val="ctr"/>
        <c:lblOffset val="100"/>
        <c:noMultiLvlLbl val="0"/>
      </c:catAx>
      <c:valAx>
        <c:axId val="49062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2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4495.0432132700444</c:v>
                </c:pt>
                <c:pt idx="1">
                  <c:v>4428.9385949452217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994604662395302E-2"/>
                  <c:y val="-1.77178400475521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254.42392500000005</c:v>
                </c:pt>
                <c:pt idx="1">
                  <c:v>298.42079055853588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90624568"/>
        <c:axId val="490622608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698249516567E-2"/>
                  <c:y val="3.894678533114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64834543561929E-2"/>
                  <c:y val="5.200833061311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5.3568941018649084E-2</c:v>
                </c:pt>
                <c:pt idx="1">
                  <c:v>6.3126317722665692E-2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51472"/>
        <c:axId val="490623000"/>
      </c:lineChart>
      <c:catAx>
        <c:axId val="49062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22608"/>
        <c:crosses val="autoZero"/>
        <c:auto val="1"/>
        <c:lblAlgn val="ctr"/>
        <c:lblOffset val="100"/>
        <c:noMultiLvlLbl val="1"/>
      </c:catAx>
      <c:valAx>
        <c:axId val="490622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0624568"/>
        <c:crosses val="autoZero"/>
        <c:crossBetween val="between"/>
        <c:majorUnit val="1000"/>
      </c:valAx>
      <c:valAx>
        <c:axId val="49062300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051472"/>
        <c:crosses val="max"/>
        <c:crossBetween val="between"/>
      </c:valAx>
      <c:catAx>
        <c:axId val="42505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9062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2619.7155991473624</c:v>
                </c:pt>
                <c:pt idx="1">
                  <c:v>1760.1492480000004</c:v>
                </c:pt>
                <c:pt idx="2">
                  <c:v>114.79426907698598</c:v>
                </c:pt>
                <c:pt idx="3" formatCode="#,##0.00">
                  <c:v>0.38409704569600001</c:v>
                </c:pt>
                <c:pt idx="4">
                  <c:v>50.081394000000017</c:v>
                </c:pt>
                <c:pt idx="5">
                  <c:v>129.15548200000001</c:v>
                </c:pt>
                <c:pt idx="6">
                  <c:v>75.187049000000016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1859.3271390274138</c:v>
                </c:pt>
                <c:pt idx="1">
                  <c:v>2469.0873082256048</c:v>
                </c:pt>
                <c:pt idx="2">
                  <c:v>100.22354973149504</c:v>
                </c:pt>
                <c:pt idx="3" formatCode="#,##0.00">
                  <c:v>0.30059796070800382</c:v>
                </c:pt>
                <c:pt idx="4">
                  <c:v>60.133023573535809</c:v>
                </c:pt>
                <c:pt idx="5">
                  <c:v>156.77008605250003</c:v>
                </c:pt>
                <c:pt idx="6">
                  <c:v>81.517680932500056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91.656741977500033</c:v>
                </c:pt>
                <c:pt idx="1">
                  <c:v>67.299571365538711</c:v>
                </c:pt>
                <c:pt idx="2">
                  <c:v>0</c:v>
                </c:pt>
                <c:pt idx="3">
                  <c:v>143.98460012697979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noviembre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57894" y="3305175"/>
          <a:ext cx="4003922" cy="5544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topLeftCell="E50" zoomScale="130" zoomScaleNormal="120" zoomScaleSheetLayoutView="13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6.425781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5" t="s">
        <v>64</v>
      </c>
      <c r="R11" s="144" t="s">
        <v>41</v>
      </c>
      <c r="S11" s="145">
        <f>E12</f>
        <v>55.585841992263752</v>
      </c>
    </row>
    <row r="12" spans="2:19" s="1" customFormat="1">
      <c r="B12" s="8"/>
      <c r="C12" s="135" t="s">
        <v>66</v>
      </c>
      <c r="D12" s="136">
        <v>1803.74129703515</v>
      </c>
      <c r="E12" s="137">
        <v>55.585841992263752</v>
      </c>
      <c r="F12" s="138">
        <f>SUM(D12:E12)</f>
        <v>1859.3271390274138</v>
      </c>
      <c r="G12" s="368">
        <f>(F12/F$16)</f>
        <v>0.39331199246855636</v>
      </c>
      <c r="H12" s="9"/>
      <c r="I12" s="9"/>
      <c r="J12" s="9"/>
      <c r="K12" s="9"/>
      <c r="Q12" s="385"/>
      <c r="R12" s="144" t="s">
        <v>73</v>
      </c>
      <c r="S12" s="145">
        <f>E13</f>
        <v>162.3978520950451</v>
      </c>
    </row>
    <row r="13" spans="2:19" s="1" customFormat="1">
      <c r="B13" s="8"/>
      <c r="C13" s="135" t="s">
        <v>65</v>
      </c>
      <c r="D13" s="136">
        <v>2467.3466273962995</v>
      </c>
      <c r="E13" s="137">
        <v>162.3978520950451</v>
      </c>
      <c r="F13" s="138">
        <f>SUM(D13:E13)</f>
        <v>2629.7444794913445</v>
      </c>
      <c r="G13" s="368">
        <f>(F13/F$16)</f>
        <v>0.55628190392195298</v>
      </c>
      <c r="H13" s="9"/>
      <c r="I13" s="9"/>
      <c r="J13" s="9"/>
      <c r="K13" s="9"/>
      <c r="Q13" s="385" t="s">
        <v>88</v>
      </c>
      <c r="R13" s="144" t="s">
        <v>41</v>
      </c>
      <c r="S13" s="145">
        <f>D12</f>
        <v>1803.74129703515</v>
      </c>
    </row>
    <row r="14" spans="2:19" s="1" customFormat="1">
      <c r="B14" s="8"/>
      <c r="C14" s="135" t="s">
        <v>67</v>
      </c>
      <c r="D14" s="136">
        <v>156.77008605250003</v>
      </c>
      <c r="E14" s="139"/>
      <c r="F14" s="138">
        <f>SUM(D14:E14)</f>
        <v>156.77008605250003</v>
      </c>
      <c r="G14" s="368">
        <f>(F14/F$16)</f>
        <v>3.3162294902568369E-2</v>
      </c>
      <c r="H14" s="9"/>
      <c r="I14" s="9"/>
      <c r="J14" s="9"/>
      <c r="K14" s="9"/>
      <c r="Q14" s="385"/>
      <c r="R14" s="144" t="s">
        <v>73</v>
      </c>
      <c r="S14" s="145">
        <f>D13</f>
        <v>2467.3466273962995</v>
      </c>
    </row>
    <row r="15" spans="2:19" s="1" customFormat="1" ht="13.5" thickBot="1">
      <c r="B15" s="8"/>
      <c r="C15" s="140" t="s">
        <v>5</v>
      </c>
      <c r="D15" s="141">
        <v>81.517680932500056</v>
      </c>
      <c r="E15" s="142"/>
      <c r="F15" s="143">
        <f>SUM(D15:E15)</f>
        <v>81.517680932500056</v>
      </c>
      <c r="G15" s="369">
        <f>(F15/F$16)</f>
        <v>1.724380870692219E-2</v>
      </c>
      <c r="H15" s="9"/>
      <c r="I15" s="9"/>
      <c r="J15" s="9"/>
      <c r="K15" s="9"/>
      <c r="Q15" s="385"/>
      <c r="R15" s="144" t="s">
        <v>87</v>
      </c>
      <c r="S15" s="145">
        <f>SUM(D14:D15)</f>
        <v>238.28776698500008</v>
      </c>
    </row>
    <row r="16" spans="2:19" s="1" customFormat="1" ht="13.5" thickTop="1">
      <c r="B16" s="8"/>
      <c r="C16" s="237" t="s">
        <v>71</v>
      </c>
      <c r="D16" s="238">
        <f>SUM(D12:D15)</f>
        <v>4509.3756914164496</v>
      </c>
      <c r="E16" s="239">
        <f>SUM(E12:E15)</f>
        <v>217.98369408730883</v>
      </c>
      <c r="F16" s="240">
        <f>SUM(F12:F15)</f>
        <v>4727.3593855037589</v>
      </c>
      <c r="G16" s="241"/>
      <c r="H16" s="9"/>
      <c r="I16" s="9"/>
      <c r="J16" s="9"/>
      <c r="K16" s="9"/>
    </row>
    <row r="17" spans="2:19" s="1" customFormat="1">
      <c r="B17" s="8"/>
      <c r="C17" s="242" t="s">
        <v>107</v>
      </c>
      <c r="D17" s="306">
        <f>D16/F16</f>
        <v>0.95388890999999987</v>
      </c>
      <c r="E17" s="307">
        <f>E16/F16</f>
        <v>4.611109000000007E-2</v>
      </c>
      <c r="F17" s="243"/>
      <c r="G17" s="244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81" t="s">
        <v>110</v>
      </c>
      <c r="D23" s="382"/>
      <c r="E23" s="386" t="s">
        <v>126</v>
      </c>
      <c r="F23" s="387"/>
      <c r="G23" s="149" t="s">
        <v>74</v>
      </c>
      <c r="H23" s="388" t="s">
        <v>127</v>
      </c>
      <c r="I23" s="389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37">
        <v>2020</v>
      </c>
      <c r="G24" s="153"/>
      <c r="H24" s="225">
        <v>2019</v>
      </c>
      <c r="I24" s="337">
        <v>2020</v>
      </c>
      <c r="J24" s="153"/>
      <c r="K24" s="9"/>
      <c r="Q24" s="144" t="s">
        <v>76</v>
      </c>
      <c r="R24" s="145">
        <f>E29</f>
        <v>224.60003354936291</v>
      </c>
      <c r="S24" s="145">
        <f>F29</f>
        <v>207.67413313817639</v>
      </c>
    </row>
    <row r="25" spans="2:19" s="1" customFormat="1">
      <c r="B25" s="8"/>
      <c r="C25" s="377" t="s">
        <v>0</v>
      </c>
      <c r="D25" s="378"/>
      <c r="E25" s="188">
        <f>SUM(E26:E28)</f>
        <v>4524.8671047206817</v>
      </c>
      <c r="F25" s="338">
        <f>SUM(F26:F28)</f>
        <v>4519.6852523655816</v>
      </c>
      <c r="G25" s="189">
        <f>((F25/E25)-1)</f>
        <v>-1.1451943748124194E-3</v>
      </c>
      <c r="H25" s="226">
        <f>SUM(H26:H28)</f>
        <v>49733.311510607724</v>
      </c>
      <c r="I25" s="338">
        <f>SUM(I26:I28)</f>
        <v>45932.109335486428</v>
      </c>
      <c r="J25" s="189">
        <f>((I25/H25)-1)</f>
        <v>-7.6431712662257123E-2</v>
      </c>
      <c r="K25" s="9"/>
      <c r="Q25" s="144" t="s">
        <v>0</v>
      </c>
      <c r="R25" s="145">
        <f>E25</f>
        <v>4524.8671047206817</v>
      </c>
      <c r="S25" s="145">
        <f>F25</f>
        <v>4519.6852523655816</v>
      </c>
    </row>
    <row r="26" spans="2:19" s="1" customFormat="1">
      <c r="B26" s="8"/>
      <c r="C26" s="258" t="s">
        <v>62</v>
      </c>
      <c r="D26" s="266" t="s">
        <v>102</v>
      </c>
      <c r="E26" s="155">
        <v>4398.4895885875003</v>
      </c>
      <c r="F26" s="339">
        <v>4385.367859902497</v>
      </c>
      <c r="G26" s="348">
        <f t="shared" ref="G26:G32" si="0">((F26/E26)-1)</f>
        <v>-2.9832351357723663E-3</v>
      </c>
      <c r="H26" s="227">
        <v>48311.712332702489</v>
      </c>
      <c r="I26" s="339">
        <v>44603.383202817502</v>
      </c>
      <c r="J26" s="156">
        <f t="shared" ref="J26:J32" si="1">((I26/H26)-1)</f>
        <v>-7.6758387372968251E-2</v>
      </c>
      <c r="K26" s="9"/>
    </row>
    <row r="27" spans="2:19" s="1" customFormat="1">
      <c r="B27" s="8"/>
      <c r="C27" s="259" t="s">
        <v>104</v>
      </c>
      <c r="D27" s="267" t="s">
        <v>77</v>
      </c>
      <c r="E27" s="261">
        <v>79.985075089999995</v>
      </c>
      <c r="F27" s="340">
        <v>79.10130301855699</v>
      </c>
      <c r="G27" s="371">
        <f t="shared" si="0"/>
        <v>-1.104921224926747E-2</v>
      </c>
      <c r="H27" s="262">
        <v>941.23301896574367</v>
      </c>
      <c r="I27" s="340">
        <v>887.83893733557579</v>
      </c>
      <c r="J27" s="270">
        <f t="shared" si="1"/>
        <v>-5.6727803375235308E-2</v>
      </c>
      <c r="K27" s="9"/>
    </row>
    <row r="28" spans="2:19" s="1" customFormat="1">
      <c r="B28" s="8"/>
      <c r="C28" s="260" t="s">
        <v>64</v>
      </c>
      <c r="D28" s="268" t="s">
        <v>77</v>
      </c>
      <c r="E28" s="155">
        <v>46.392441043182046</v>
      </c>
      <c r="F28" s="339">
        <v>55.216089444527988</v>
      </c>
      <c r="G28" s="269">
        <f t="shared" si="0"/>
        <v>0.19019582076168184</v>
      </c>
      <c r="H28" s="227">
        <v>480.36615893948846</v>
      </c>
      <c r="I28" s="339">
        <v>440.88719533335404</v>
      </c>
      <c r="J28" s="269">
        <f t="shared" si="1"/>
        <v>-8.2185147457707441E-2</v>
      </c>
      <c r="K28" s="9"/>
    </row>
    <row r="29" spans="2:19" s="1" customFormat="1">
      <c r="B29" s="8"/>
      <c r="C29" s="377" t="s">
        <v>76</v>
      </c>
      <c r="D29" s="378"/>
      <c r="E29" s="188">
        <f>SUM(E30:E31)</f>
        <v>224.60003354936291</v>
      </c>
      <c r="F29" s="338">
        <f>SUM(F30:F31)</f>
        <v>207.67413313817639</v>
      </c>
      <c r="G29" s="189">
        <f t="shared" si="0"/>
        <v>-7.5360186477739455E-2</v>
      </c>
      <c r="H29" s="226">
        <f>SUM(H30:H31)</f>
        <v>2277.9416941640029</v>
      </c>
      <c r="I29" s="338">
        <f>SUM(I30:I31)</f>
        <v>1952.5454572473454</v>
      </c>
      <c r="J29" s="189">
        <f t="shared" si="1"/>
        <v>-0.14284660478813394</v>
      </c>
      <c r="K29" s="9"/>
      <c r="Q29" s="144"/>
      <c r="R29" s="144"/>
      <c r="S29" s="144"/>
    </row>
    <row r="30" spans="2:19" s="1" customFormat="1">
      <c r="B30" s="8"/>
      <c r="C30" s="263" t="s">
        <v>68</v>
      </c>
      <c r="D30" s="151"/>
      <c r="E30" s="155">
        <v>40.596904469862437</v>
      </c>
      <c r="F30" s="339">
        <v>44.906528495395555</v>
      </c>
      <c r="G30" s="269">
        <f t="shared" si="0"/>
        <v>0.10615646886900976</v>
      </c>
      <c r="H30" s="227">
        <v>478.34855635690559</v>
      </c>
      <c r="I30" s="339">
        <v>440.49515517675769</v>
      </c>
      <c r="J30" s="269">
        <f t="shared" si="1"/>
        <v>-7.9133511906963272E-2</v>
      </c>
      <c r="K30" s="9"/>
    </row>
    <row r="31" spans="2:19" s="1" customFormat="1" ht="13.5" thickBot="1">
      <c r="B31" s="8"/>
      <c r="C31" s="264" t="s">
        <v>64</v>
      </c>
      <c r="D31" s="265"/>
      <c r="E31" s="158">
        <v>184.00312907950047</v>
      </c>
      <c r="F31" s="314">
        <v>162.76760464278084</v>
      </c>
      <c r="G31" s="159">
        <f t="shared" si="0"/>
        <v>-0.11540849627369432</v>
      </c>
      <c r="H31" s="228">
        <v>1799.5931378070975</v>
      </c>
      <c r="I31" s="314">
        <v>1512.0503020705878</v>
      </c>
      <c r="J31" s="290">
        <f t="shared" si="1"/>
        <v>-0.15978213613711389</v>
      </c>
      <c r="K31" s="9"/>
    </row>
    <row r="32" spans="2:19" s="1" customFormat="1" ht="14.25" thickTop="1" thickBot="1">
      <c r="B32" s="8"/>
      <c r="C32" s="379" t="s">
        <v>106</v>
      </c>
      <c r="D32" s="380"/>
      <c r="E32" s="190">
        <f>SUM(E25,E29)</f>
        <v>4749.4671382700444</v>
      </c>
      <c r="F32" s="341">
        <f>SUM(F25,F29)</f>
        <v>4727.3593855037579</v>
      </c>
      <c r="G32" s="191">
        <f t="shared" si="0"/>
        <v>-4.654785920750526E-3</v>
      </c>
      <c r="H32" s="229">
        <f>SUM(H25,H29)</f>
        <v>52011.253204771725</v>
      </c>
      <c r="I32" s="341">
        <f>SUM(I25,I29)</f>
        <v>47884.654792733774</v>
      </c>
      <c r="J32" s="191">
        <f t="shared" si="1"/>
        <v>-7.9340491869927865E-2</v>
      </c>
      <c r="K32" s="9"/>
    </row>
    <row r="33" spans="2:19" s="1" customFormat="1">
      <c r="B33" s="8"/>
      <c r="C33" s="301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6" t="s">
        <v>126</v>
      </c>
      <c r="F38" s="387"/>
      <c r="G38" s="383" t="s">
        <v>74</v>
      </c>
      <c r="H38" s="388" t="s">
        <v>127</v>
      </c>
      <c r="I38" s="389"/>
      <c r="J38" s="383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37">
        <v>2020</v>
      </c>
      <c r="G39" s="384"/>
      <c r="H39" s="230">
        <v>2019</v>
      </c>
      <c r="I39" s="342">
        <v>2020</v>
      </c>
      <c r="J39" s="384"/>
      <c r="K39" s="9"/>
      <c r="Q39" s="144" t="s">
        <v>66</v>
      </c>
      <c r="R39" s="145">
        <f>SUM(E41,E46)</f>
        <v>2619.7155991473624</v>
      </c>
      <c r="S39" s="145">
        <f>SUM(F41,F46)</f>
        <v>1859.3271390274138</v>
      </c>
    </row>
    <row r="40" spans="2:19" s="1" customFormat="1">
      <c r="B40" s="8"/>
      <c r="C40" s="377" t="s">
        <v>68</v>
      </c>
      <c r="D40" s="378"/>
      <c r="E40" s="188">
        <f>SUM(E41:E44)</f>
        <v>4519.071568147363</v>
      </c>
      <c r="F40" s="338">
        <f>SUM(F41:F44)</f>
        <v>4509.3756914164496</v>
      </c>
      <c r="G40" s="189">
        <f>((F40/E40)-1)</f>
        <v>-2.1455461779482654E-3</v>
      </c>
      <c r="H40" s="226">
        <f>SUM(H41:H44)</f>
        <v>49731.293908025138</v>
      </c>
      <c r="I40" s="338">
        <f>SUM(I41:I44)</f>
        <v>45931.717295329829</v>
      </c>
      <c r="J40" s="189">
        <f>((I40/H40)-1)</f>
        <v>-7.6402126591002983E-2</v>
      </c>
      <c r="K40" s="9"/>
      <c r="Q40" s="144" t="s">
        <v>65</v>
      </c>
      <c r="R40" s="145">
        <f>SUM(E42,E47)</f>
        <v>1925.409008122683</v>
      </c>
      <c r="S40" s="145">
        <f>SUM(F42,F47)</f>
        <v>2629.7444794913445</v>
      </c>
    </row>
    <row r="41" spans="2:19" s="1" customFormat="1">
      <c r="B41" s="8"/>
      <c r="C41" s="154" t="s">
        <v>66</v>
      </c>
      <c r="D41" s="130"/>
      <c r="E41" s="155">
        <v>2562.4785521473623</v>
      </c>
      <c r="F41" s="339">
        <f>D12</f>
        <v>1803.74129703515</v>
      </c>
      <c r="G41" s="269">
        <f t="shared" ref="G41:G48" si="2">((F41/E41)-1)</f>
        <v>-0.29609506564509147</v>
      </c>
      <c r="H41" s="227">
        <v>27573.165097627643</v>
      </c>
      <c r="I41" s="339">
        <v>27101.040083338248</v>
      </c>
      <c r="J41" s="269">
        <f t="shared" ref="J41:J48" si="3">((I41/H41)-1)</f>
        <v>-1.7122626750239012E-2</v>
      </c>
      <c r="K41" s="9"/>
      <c r="Q41" s="144" t="s">
        <v>67</v>
      </c>
      <c r="R41" s="145">
        <f>E43</f>
        <v>129.15548200000001</v>
      </c>
      <c r="S41" s="145">
        <f>F43</f>
        <v>156.77008605250003</v>
      </c>
    </row>
    <row r="42" spans="2:19" s="1" customFormat="1">
      <c r="B42" s="8"/>
      <c r="C42" s="154" t="s">
        <v>65</v>
      </c>
      <c r="D42" s="130"/>
      <c r="E42" s="155">
        <v>1752.2504850000005</v>
      </c>
      <c r="F42" s="339">
        <f>D13</f>
        <v>2467.3466273962995</v>
      </c>
      <c r="G42" s="269">
        <f t="shared" si="2"/>
        <v>0.40810155198575893</v>
      </c>
      <c r="H42" s="227">
        <v>19950.4682133975</v>
      </c>
      <c r="I42" s="339">
        <v>16469.301362961582</v>
      </c>
      <c r="J42" s="269">
        <f t="shared" si="3"/>
        <v>-0.17449048379216392</v>
      </c>
      <c r="K42" s="9"/>
      <c r="Q42" s="144" t="s">
        <v>5</v>
      </c>
      <c r="R42" s="145">
        <f>E44</f>
        <v>75.187049000000016</v>
      </c>
      <c r="S42" s="145">
        <f>F44</f>
        <v>81.517680932500056</v>
      </c>
    </row>
    <row r="43" spans="2:19" s="1" customFormat="1">
      <c r="B43" s="8"/>
      <c r="C43" s="154" t="s">
        <v>67</v>
      </c>
      <c r="D43" s="130"/>
      <c r="E43" s="155">
        <v>129.15548200000001</v>
      </c>
      <c r="F43" s="339">
        <f>D14</f>
        <v>156.77008605250003</v>
      </c>
      <c r="G43" s="269">
        <f t="shared" si="2"/>
        <v>0.21380899691505184</v>
      </c>
      <c r="H43" s="227">
        <v>1523.1906950000002</v>
      </c>
      <c r="I43" s="339">
        <v>1657.0942048725001</v>
      </c>
      <c r="J43" s="269">
        <f t="shared" si="3"/>
        <v>8.7909879118910794E-2</v>
      </c>
      <c r="K43" s="9"/>
    </row>
    <row r="44" spans="2:19" s="1" customFormat="1">
      <c r="B44" s="8"/>
      <c r="C44" s="154" t="s">
        <v>5</v>
      </c>
      <c r="D44" s="130"/>
      <c r="E44" s="155">
        <v>75.187049000000016</v>
      </c>
      <c r="F44" s="339">
        <f>D15</f>
        <v>81.517680932500056</v>
      </c>
      <c r="G44" s="93">
        <f t="shared" si="2"/>
        <v>8.4198435989954135E-2</v>
      </c>
      <c r="H44" s="227">
        <v>684.46990200000005</v>
      </c>
      <c r="I44" s="339">
        <v>704.28164415750018</v>
      </c>
      <c r="J44" s="156">
        <f t="shared" si="3"/>
        <v>2.8944650596923083E-2</v>
      </c>
      <c r="K44" s="9"/>
      <c r="Q44" s="144"/>
      <c r="R44" s="144"/>
      <c r="S44" s="144"/>
    </row>
    <row r="45" spans="2:19" s="1" customFormat="1">
      <c r="B45" s="8"/>
      <c r="C45" s="377" t="s">
        <v>64</v>
      </c>
      <c r="D45" s="378"/>
      <c r="E45" s="188">
        <f>SUM(E46:E47)</f>
        <v>230.39557012268247</v>
      </c>
      <c r="F45" s="338">
        <f>SUM(F46:F47)</f>
        <v>217.98369408730883</v>
      </c>
      <c r="G45" s="189">
        <f t="shared" si="2"/>
        <v>-5.3872025528808876E-2</v>
      </c>
      <c r="H45" s="226">
        <f>SUM(H46:H47)</f>
        <v>2279.9592967465865</v>
      </c>
      <c r="I45" s="338">
        <f>SUM(I46:I47)</f>
        <v>1952.9374974039415</v>
      </c>
      <c r="J45" s="189">
        <f t="shared" si="3"/>
        <v>-0.14343317435942493</v>
      </c>
      <c r="K45" s="9"/>
    </row>
    <row r="46" spans="2:19" s="1" customFormat="1">
      <c r="B46" s="8"/>
      <c r="C46" s="154" t="s">
        <v>66</v>
      </c>
      <c r="D46" s="130"/>
      <c r="E46" s="155">
        <v>57.23704699999999</v>
      </c>
      <c r="F46" s="339">
        <f>E12</f>
        <v>55.585841992263752</v>
      </c>
      <c r="G46" s="156">
        <f t="shared" si="2"/>
        <v>-2.8848535944494769E-2</v>
      </c>
      <c r="H46" s="227">
        <v>626.4676168815547</v>
      </c>
      <c r="I46" s="339">
        <v>568.31932825127467</v>
      </c>
      <c r="J46" s="156">
        <f t="shared" si="3"/>
        <v>-9.2819304722775553E-2</v>
      </c>
      <c r="K46" s="9"/>
    </row>
    <row r="47" spans="2:19" s="1" customFormat="1" ht="13.5" thickBot="1">
      <c r="B47" s="8"/>
      <c r="C47" s="157" t="s">
        <v>65</v>
      </c>
      <c r="D47" s="130"/>
      <c r="E47" s="158">
        <v>173.15852312268248</v>
      </c>
      <c r="F47" s="314">
        <f>E13</f>
        <v>162.3978520950451</v>
      </c>
      <c r="G47" s="290">
        <f t="shared" si="2"/>
        <v>-6.2143467347624992E-2</v>
      </c>
      <c r="H47" s="228">
        <v>1653.4916798650318</v>
      </c>
      <c r="I47" s="314">
        <v>1384.6181691526667</v>
      </c>
      <c r="J47" s="159">
        <f t="shared" si="3"/>
        <v>-0.16260953350204466</v>
      </c>
      <c r="K47" s="9"/>
    </row>
    <row r="48" spans="2:19" s="1" customFormat="1" ht="14.25" thickTop="1" thickBot="1">
      <c r="B48" s="8"/>
      <c r="C48" s="379" t="s">
        <v>106</v>
      </c>
      <c r="D48" s="380"/>
      <c r="E48" s="190">
        <f>SUM(E40,E45)</f>
        <v>4749.4671382700453</v>
      </c>
      <c r="F48" s="341">
        <f>SUM(F40,F45)</f>
        <v>4727.3593855037589</v>
      </c>
      <c r="G48" s="191">
        <f t="shared" si="2"/>
        <v>-4.654785920750526E-3</v>
      </c>
      <c r="H48" s="229">
        <f>SUM(H40,H45)</f>
        <v>52011.253204771725</v>
      </c>
      <c r="I48" s="341">
        <f>SUM(I40,I45)</f>
        <v>47884.654792733767</v>
      </c>
      <c r="J48" s="191">
        <f t="shared" si="3"/>
        <v>-7.9340491869927976E-2</v>
      </c>
      <c r="K48" s="9"/>
    </row>
    <row r="49" spans="2:23" s="1" customFormat="1">
      <c r="B49" s="8"/>
      <c r="C49" s="256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1"/>
    </row>
    <row r="53" spans="2:23" s="1" customFormat="1" ht="13.5" thickBot="1">
      <c r="B53" s="8"/>
      <c r="C53" s="10"/>
      <c r="H53" s="9"/>
      <c r="I53" s="9"/>
      <c r="J53" s="9"/>
      <c r="K53" s="9"/>
      <c r="L53" s="251"/>
      <c r="M53" s="251"/>
    </row>
    <row r="54" spans="2:23" s="1" customFormat="1" ht="12.75" customHeight="1">
      <c r="B54" s="8"/>
      <c r="C54" s="147"/>
      <c r="D54" s="148"/>
      <c r="E54" s="386" t="s">
        <v>126</v>
      </c>
      <c r="F54" s="387"/>
      <c r="G54" s="383" t="s">
        <v>74</v>
      </c>
      <c r="H54" s="388" t="s">
        <v>127</v>
      </c>
      <c r="I54" s="389"/>
      <c r="J54" s="383" t="s">
        <v>74</v>
      </c>
      <c r="K54" s="9"/>
      <c r="L54" s="251"/>
      <c r="M54" s="251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37">
        <v>2020</v>
      </c>
      <c r="G55" s="384"/>
      <c r="H55" s="230">
        <v>2019</v>
      </c>
      <c r="I55" s="342">
        <v>2020</v>
      </c>
      <c r="J55" s="384"/>
      <c r="K55" s="9"/>
      <c r="L55" s="251"/>
      <c r="M55" s="251"/>
    </row>
    <row r="56" spans="2:23" s="1" customFormat="1">
      <c r="B56" s="8"/>
      <c r="C56" s="377" t="s">
        <v>68</v>
      </c>
      <c r="D56" s="378"/>
      <c r="E56" s="188">
        <f>SUM(E57:E60)</f>
        <v>4519.071568147363</v>
      </c>
      <c r="F56" s="338">
        <f>SUM(F57:F60)</f>
        <v>4509.3756914164496</v>
      </c>
      <c r="G56" s="189">
        <f>((F56/E56)-1)</f>
        <v>-2.1455461779482654E-3</v>
      </c>
      <c r="H56" s="226">
        <f>SUM(H57:H60)</f>
        <v>49731.293908025145</v>
      </c>
      <c r="I56" s="338">
        <f>SUM(I57:I60)</f>
        <v>45931.717295329829</v>
      </c>
      <c r="J56" s="189">
        <f>((I56/H56)-1)</f>
        <v>-7.6402126591003094E-2</v>
      </c>
      <c r="K56" s="9"/>
    </row>
    <row r="57" spans="2:23" s="1" customFormat="1" ht="25.5">
      <c r="B57" s="8"/>
      <c r="C57" s="391" t="s">
        <v>78</v>
      </c>
      <c r="D57" s="271" t="s">
        <v>79</v>
      </c>
      <c r="E57" s="350">
        <f>SUM(E43:E44)+25.675912</f>
        <v>230.01844300000002</v>
      </c>
      <c r="F57" s="351">
        <f>SUM(F43:F44)+34.1493672383286</f>
        <v>272.43713422332866</v>
      </c>
      <c r="G57" s="166">
        <f t="shared" ref="G57:G65" si="4">((F57/E57)-1)</f>
        <v>0.18441430465351272</v>
      </c>
      <c r="H57" s="352">
        <f>SUM(H43:H44)+286.911708</f>
        <v>2494.5723050000001</v>
      </c>
      <c r="I57" s="351">
        <f>SUM(I43:I44)+267.600647958329</f>
        <v>2628.976496988329</v>
      </c>
      <c r="J57" s="166">
        <f t="shared" ref="J57:J65" si="5">((I57/H57)-1)</f>
        <v>5.3878651550382184E-2</v>
      </c>
      <c r="K57" s="9"/>
      <c r="L57" s="251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92"/>
      <c r="D58" s="272" t="s">
        <v>108</v>
      </c>
      <c r="E58" s="261">
        <v>186.8941388075001</v>
      </c>
      <c r="F58" s="340">
        <v>114.60069452249995</v>
      </c>
      <c r="G58" s="270">
        <f t="shared" si="4"/>
        <v>-0.38681493569716485</v>
      </c>
      <c r="H58" s="262">
        <v>1610.3864647424996</v>
      </c>
      <c r="I58" s="340">
        <v>1853.6392323775003</v>
      </c>
      <c r="J58" s="270">
        <f t="shared" si="5"/>
        <v>0.15105241689540461</v>
      </c>
      <c r="K58" s="9"/>
      <c r="L58" s="251"/>
      <c r="M58" s="251"/>
      <c r="Q58" s="385" t="s">
        <v>80</v>
      </c>
      <c r="R58" s="144" t="s">
        <v>66</v>
      </c>
      <c r="T58" s="145">
        <f>SUM(E60,E64)</f>
        <v>2432.8214603398624</v>
      </c>
      <c r="U58" s="145">
        <f>SUM(F60,F64)</f>
        <v>1744.7264445049138</v>
      </c>
      <c r="V58" s="146">
        <f t="shared" ref="V58:W61" si="6">T58/T$64</f>
        <v>0.51223040175113144</v>
      </c>
      <c r="W58" s="146">
        <f t="shared" si="6"/>
        <v>0.36906998225162263</v>
      </c>
    </row>
    <row r="59" spans="2:23" s="1" customFormat="1">
      <c r="B59" s="8"/>
      <c r="C59" s="390" t="s">
        <v>80</v>
      </c>
      <c r="D59" s="273" t="s">
        <v>81</v>
      </c>
      <c r="E59" s="155">
        <f>SUM(E42:E44)-E57</f>
        <v>1726.5745730000008</v>
      </c>
      <c r="F59" s="339">
        <f>SUM(F42:F44)-F57</f>
        <v>2433.197260157971</v>
      </c>
      <c r="G59" s="269">
        <f t="shared" si="4"/>
        <v>0.40926276698850117</v>
      </c>
      <c r="H59" s="227">
        <f>SUM(H42:H44)-H57</f>
        <v>19663.556505397501</v>
      </c>
      <c r="I59" s="339">
        <f>SUM(I42:I44)-I57</f>
        <v>16201.700715003255</v>
      </c>
      <c r="J59" s="269">
        <f t="shared" si="5"/>
        <v>-0.17605440752510826</v>
      </c>
      <c r="K59" s="9"/>
      <c r="Q59" s="385"/>
      <c r="R59" s="144" t="s">
        <v>65</v>
      </c>
      <c r="T59" s="145">
        <f>SUM(E59,E63)</f>
        <v>1875.3276141226834</v>
      </c>
      <c r="U59" s="145">
        <f>SUM(F59,F63)</f>
        <v>2569.6114559178086</v>
      </c>
      <c r="V59" s="146">
        <f t="shared" si="6"/>
        <v>0.39485010834410272</v>
      </c>
      <c r="W59" s="146">
        <f t="shared" si="6"/>
        <v>0.54356168980877784</v>
      </c>
    </row>
    <row r="60" spans="2:23" s="1" customFormat="1">
      <c r="B60" s="8"/>
      <c r="C60" s="390"/>
      <c r="D60" s="274" t="s">
        <v>41</v>
      </c>
      <c r="E60" s="155">
        <f>E41-E58</f>
        <v>2375.5844133398623</v>
      </c>
      <c r="F60" s="339">
        <f>F41-F58</f>
        <v>1689.14060251265</v>
      </c>
      <c r="G60" s="348">
        <f t="shared" si="4"/>
        <v>-0.28895786947100432</v>
      </c>
      <c r="H60" s="227">
        <f>H41-H58</f>
        <v>25962.778632885143</v>
      </c>
      <c r="I60" s="339">
        <f>I41-I58</f>
        <v>25247.400850960748</v>
      </c>
      <c r="J60" s="348">
        <f t="shared" si="5"/>
        <v>-2.7553976099394806E-2</v>
      </c>
      <c r="K60" s="9"/>
      <c r="Q60" s="385" t="s">
        <v>78</v>
      </c>
      <c r="R60" s="144" t="s">
        <v>66</v>
      </c>
      <c r="T60" s="145">
        <f>E58</f>
        <v>186.8941388075001</v>
      </c>
      <c r="U60" s="145">
        <f>F58</f>
        <v>114.60069452249995</v>
      </c>
      <c r="V60" s="146">
        <f t="shared" si="6"/>
        <v>3.9350548886116672E-2</v>
      </c>
      <c r="W60" s="146">
        <f t="shared" si="6"/>
        <v>2.4242010216933788E-2</v>
      </c>
    </row>
    <row r="61" spans="2:23" s="1" customFormat="1">
      <c r="B61" s="8"/>
      <c r="C61" s="377" t="s">
        <v>64</v>
      </c>
      <c r="D61" s="378"/>
      <c r="E61" s="188">
        <f>SUM(E62:E64)</f>
        <v>230.39557012268247</v>
      </c>
      <c r="F61" s="338">
        <f>SUM(F62:F64)</f>
        <v>217.98369408730883</v>
      </c>
      <c r="G61" s="189">
        <f t="shared" si="4"/>
        <v>-5.3872025528808876E-2</v>
      </c>
      <c r="H61" s="226">
        <f>SUM(H62:H64)</f>
        <v>2279.9592967465865</v>
      </c>
      <c r="I61" s="338">
        <f>SUM(I62:I64)</f>
        <v>1952.9374974039415</v>
      </c>
      <c r="J61" s="189">
        <f t="shared" si="5"/>
        <v>-0.14343317435942493</v>
      </c>
      <c r="K61" s="9"/>
      <c r="Q61" s="385"/>
      <c r="R61" s="144" t="s">
        <v>89</v>
      </c>
      <c r="T61" s="145">
        <f>E57+E62</f>
        <v>254.42392500000003</v>
      </c>
      <c r="U61" s="145">
        <f>F57+F62</f>
        <v>298.42079055853588</v>
      </c>
      <c r="V61" s="146">
        <f t="shared" si="6"/>
        <v>5.3568941018649056E-2</v>
      </c>
      <c r="W61" s="146">
        <f t="shared" si="6"/>
        <v>6.3126317722665679E-2</v>
      </c>
    </row>
    <row r="62" spans="2:23" s="1" customFormat="1">
      <c r="B62" s="8"/>
      <c r="C62" s="302" t="s">
        <v>78</v>
      </c>
      <c r="D62" s="303" t="s">
        <v>112</v>
      </c>
      <c r="E62" s="373">
        <v>24.405481999999999</v>
      </c>
      <c r="F62" s="354">
        <v>25.983656335207215</v>
      </c>
      <c r="G62" s="304">
        <f t="shared" si="4"/>
        <v>6.4664747666414168E-2</v>
      </c>
      <c r="H62" s="353">
        <v>209.30050746999999</v>
      </c>
      <c r="I62" s="354">
        <v>215.68390213520723</v>
      </c>
      <c r="J62" s="304">
        <f t="shared" si="5"/>
        <v>3.0498706106205642E-2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93" t="s">
        <v>80</v>
      </c>
      <c r="D63" s="273" t="s">
        <v>81</v>
      </c>
      <c r="E63" s="155">
        <f>E47-E62</f>
        <v>148.75304112268248</v>
      </c>
      <c r="F63" s="339">
        <f>F47-F62</f>
        <v>136.41419575983787</v>
      </c>
      <c r="G63" s="269">
        <f t="shared" ref="G63" si="7">((F63/E63)-1)</f>
        <v>-8.294852508372097E-2</v>
      </c>
      <c r="H63" s="227">
        <f>H47-H62</f>
        <v>1444.1911723950318</v>
      </c>
      <c r="I63" s="339">
        <f>I47-I62</f>
        <v>1168.9342670174594</v>
      </c>
      <c r="J63" s="269">
        <f t="shared" ref="J63" si="8">((I63/H63)-1)</f>
        <v>-0.19059589245452124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94"/>
      <c r="D64" s="275" t="s">
        <v>41</v>
      </c>
      <c r="E64" s="364">
        <f>E46</f>
        <v>57.23704699999999</v>
      </c>
      <c r="F64" s="365">
        <f>F46</f>
        <v>55.585841992263752</v>
      </c>
      <c r="G64" s="290">
        <f t="shared" si="4"/>
        <v>-2.8848535944494769E-2</v>
      </c>
      <c r="H64" s="228">
        <f>H46</f>
        <v>626.4676168815547</v>
      </c>
      <c r="I64" s="314">
        <f>I46</f>
        <v>568.31932825127467</v>
      </c>
      <c r="J64" s="159">
        <f t="shared" si="5"/>
        <v>-9.2819304722775553E-2</v>
      </c>
      <c r="K64" s="9"/>
      <c r="Q64" s="144"/>
      <c r="R64" s="144"/>
      <c r="T64" s="145">
        <f>SUM(T58:T61)</f>
        <v>4749.4671382700462</v>
      </c>
      <c r="U64" s="145">
        <f>SUM(U58:U61)</f>
        <v>4727.3593855037589</v>
      </c>
      <c r="V64" s="144"/>
      <c r="W64" s="144"/>
    </row>
    <row r="65" spans="2:22" s="1" customFormat="1" ht="14.25" thickTop="1" thickBot="1">
      <c r="B65" s="8"/>
      <c r="C65" s="379" t="s">
        <v>106</v>
      </c>
      <c r="D65" s="380"/>
      <c r="E65" s="190">
        <f>SUM(E56,E61)</f>
        <v>4749.4671382700453</v>
      </c>
      <c r="F65" s="341">
        <f>SUM(F56,F61)</f>
        <v>4727.3593855037589</v>
      </c>
      <c r="G65" s="191">
        <f t="shared" si="4"/>
        <v>-4.654785920750526E-3</v>
      </c>
      <c r="H65" s="229">
        <f>SUM(H56,H61)</f>
        <v>52011.253204771732</v>
      </c>
      <c r="I65" s="341">
        <f>SUM(I56,I61)</f>
        <v>47884.654792733767</v>
      </c>
      <c r="J65" s="191">
        <f t="shared" si="5"/>
        <v>-7.9340491869928087E-2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6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tabSelected="1" view="pageBreakPreview" topLeftCell="A50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1859.3271390274138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2469.0873082256048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100.22354973149504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60.133023573535809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156.77008605250003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81.517680932500056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6">
        <f t="shared" si="0"/>
        <v>0.30059796070800382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4727.3593855037579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8"/>
      <c r="G23" s="255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1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2" t="s">
        <v>61</v>
      </c>
      <c r="D26" s="397" t="s">
        <v>126</v>
      </c>
      <c r="E26" s="397"/>
      <c r="F26" s="398" t="s">
        <v>74</v>
      </c>
      <c r="G26" s="400" t="s">
        <v>127</v>
      </c>
      <c r="H26" s="401"/>
      <c r="I26" s="398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3"/>
      <c r="D27" s="95">
        <v>2019</v>
      </c>
      <c r="E27" s="96">
        <v>2020</v>
      </c>
      <c r="F27" s="399"/>
      <c r="G27" s="231">
        <v>2019</v>
      </c>
      <c r="H27" s="96">
        <v>2020</v>
      </c>
      <c r="I27" s="399"/>
      <c r="J27" s="20"/>
      <c r="K27" s="54"/>
      <c r="L27" s="54"/>
      <c r="M27" s="55" t="s">
        <v>85</v>
      </c>
      <c r="N27" s="70">
        <f t="shared" ref="N27:O29" si="1">D28</f>
        <v>2619.7155991473624</v>
      </c>
      <c r="O27" s="70">
        <f t="shared" si="1"/>
        <v>1859.3271390274138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2619.7155991473624</v>
      </c>
      <c r="E28" s="165">
        <f>'Resumen (G)'!F41+'Resumen (G)'!F46</f>
        <v>1859.3271390274138</v>
      </c>
      <c r="F28" s="166">
        <f>+E28/D28-1</f>
        <v>-0.29025611038367372</v>
      </c>
      <c r="G28" s="245">
        <f>'Resumen (G)'!H41+'Resumen (G)'!H46</f>
        <v>28199.632714509196</v>
      </c>
      <c r="H28" s="165">
        <f>'Resumen (G)'!I41+'Resumen (G)'!I46</f>
        <v>27669.359411589521</v>
      </c>
      <c r="I28" s="166">
        <f>+H28/G28-1</f>
        <v>-1.8804262746544231E-2</v>
      </c>
      <c r="J28" s="291"/>
      <c r="K28" s="54"/>
      <c r="L28" s="54"/>
      <c r="M28" s="55" t="s">
        <v>2</v>
      </c>
      <c r="N28" s="70">
        <f t="shared" si="1"/>
        <v>1760.1492480000004</v>
      </c>
      <c r="O28" s="70">
        <f t="shared" si="1"/>
        <v>2469.0873082256048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1760.1492480000004</v>
      </c>
      <c r="E29" s="169">
        <v>2469.0873082256048</v>
      </c>
      <c r="F29" s="170">
        <f t="shared" ref="F29:F35" si="2">+E29/D29-1</f>
        <v>0.40277156100890155</v>
      </c>
      <c r="G29" s="246">
        <v>19712.8813523975</v>
      </c>
      <c r="H29" s="169">
        <v>16388.482577535888</v>
      </c>
      <c r="I29" s="170">
        <f t="shared" ref="I29:I35" si="3">+H29/G29-1</f>
        <v>-0.1686409366258016</v>
      </c>
      <c r="J29" s="253"/>
      <c r="K29" s="254"/>
      <c r="L29" s="54"/>
      <c r="M29" s="55" t="s">
        <v>84</v>
      </c>
      <c r="N29" s="70">
        <f t="shared" si="1"/>
        <v>114.79426907698598</v>
      </c>
      <c r="O29" s="70">
        <f t="shared" si="1"/>
        <v>100.22354973149504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114.79426907698598</v>
      </c>
      <c r="E30" s="169">
        <f>'Resumen (G)'!F32-SUM('TipoRecurso (G)'!E28:E29,'TipoRecurso (G)'!E31:E34)</f>
        <v>100.22354973149504</v>
      </c>
      <c r="F30" s="170">
        <f t="shared" si="2"/>
        <v>-0.1269289787952671</v>
      </c>
      <c r="G30" s="246">
        <f>'Resumen (G)'!H32-SUM('TipoRecurso (G)'!G28:G29,'TipoRecurso (G)'!G31:G34)</f>
        <v>1390.6858582397399</v>
      </c>
      <c r="H30" s="169">
        <f>'Resumen (G)'!I32-SUM('TipoRecurso (G)'!H28:H29,'TipoRecurso (G)'!H31:H34)</f>
        <v>979.60280652412621</v>
      </c>
      <c r="I30" s="170">
        <f t="shared" si="3"/>
        <v>-0.29559734808545612</v>
      </c>
      <c r="J30" s="291"/>
      <c r="K30" s="54"/>
      <c r="L30" s="54"/>
      <c r="M30" s="55" t="s">
        <v>4</v>
      </c>
      <c r="N30" s="99">
        <f>D34</f>
        <v>0.38409704569600001</v>
      </c>
      <c r="O30" s="99">
        <f>E34</f>
        <v>0.30059796070800382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50.081394000000017</v>
      </c>
      <c r="E31" s="169">
        <f>'Resumen (G)'!F57+'Resumen (G)'!F62-SUM('TipoRecurso (G)'!E32:E33)</f>
        <v>60.133023573535809</v>
      </c>
      <c r="F31" s="170">
        <f t="shared" si="2"/>
        <v>0.20070586640491261</v>
      </c>
      <c r="G31" s="246">
        <f>'Resumen (G)'!H57+'Resumen (G)'!H62-SUM('TipoRecurso (G)'!G32:G33)</f>
        <v>496.21221547000005</v>
      </c>
      <c r="H31" s="169">
        <f>'Resumen (G)'!I57+'Resumen (G)'!I62-SUM('TipoRecurso (G)'!H32:H33)</f>
        <v>483.28455009353593</v>
      </c>
      <c r="I31" s="170">
        <f t="shared" si="3"/>
        <v>-2.6052694741138804E-2</v>
      </c>
      <c r="J31" s="20"/>
      <c r="K31" s="54"/>
      <c r="L31" s="54"/>
      <c r="M31" s="55" t="s">
        <v>90</v>
      </c>
      <c r="N31" s="70">
        <f t="shared" ref="N31:O33" si="4">D31</f>
        <v>50.081394000000017</v>
      </c>
      <c r="O31" s="70">
        <f t="shared" si="4"/>
        <v>60.133023573535809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129.15548200000001</v>
      </c>
      <c r="E32" s="169">
        <f>'Resumen (G)'!F43</f>
        <v>156.77008605250003</v>
      </c>
      <c r="F32" s="170">
        <f t="shared" si="2"/>
        <v>0.21380899691505184</v>
      </c>
      <c r="G32" s="246">
        <f>'Resumen (G)'!H43</f>
        <v>1523.1906950000002</v>
      </c>
      <c r="H32" s="169">
        <f>'Resumen (G)'!I43</f>
        <v>1657.0942048725001</v>
      </c>
      <c r="I32" s="170">
        <f t="shared" si="3"/>
        <v>8.7909879118910794E-2</v>
      </c>
      <c r="J32" s="20"/>
      <c r="K32" s="54"/>
      <c r="L32" s="54"/>
      <c r="M32" s="55" t="s">
        <v>14</v>
      </c>
      <c r="N32" s="70">
        <f t="shared" si="4"/>
        <v>129.15548200000001</v>
      </c>
      <c r="O32" s="70">
        <f t="shared" si="4"/>
        <v>156.77008605250003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75.187049000000016</v>
      </c>
      <c r="E33" s="169">
        <f>'Resumen (G)'!F44</f>
        <v>81.517680932500056</v>
      </c>
      <c r="F33" s="170">
        <f t="shared" si="2"/>
        <v>8.4198435989954135E-2</v>
      </c>
      <c r="G33" s="246">
        <f>'Resumen (G)'!H44</f>
        <v>684.46990200000005</v>
      </c>
      <c r="H33" s="169">
        <f>'Resumen (G)'!I44</f>
        <v>704.28164415750018</v>
      </c>
      <c r="I33" s="170">
        <f t="shared" si="3"/>
        <v>2.8944650596923083E-2</v>
      </c>
      <c r="J33" s="20"/>
      <c r="K33" s="54"/>
      <c r="L33" s="54"/>
      <c r="M33" s="55" t="s">
        <v>5</v>
      </c>
      <c r="N33" s="70">
        <f t="shared" si="4"/>
        <v>75.187049000000016</v>
      </c>
      <c r="O33" s="70">
        <f t="shared" si="4"/>
        <v>81.517680932500056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0.38409704569600001</v>
      </c>
      <c r="E34" s="173">
        <v>0.30059796070800382</v>
      </c>
      <c r="F34" s="174">
        <f t="shared" si="2"/>
        <v>-0.21739059418354112</v>
      </c>
      <c r="G34" s="247">
        <v>4.1804671552960002</v>
      </c>
      <c r="H34" s="173">
        <v>2.5495979607080042</v>
      </c>
      <c r="I34" s="174">
        <f t="shared" si="3"/>
        <v>-0.39011649511991475</v>
      </c>
      <c r="J34" s="20"/>
      <c r="K34" s="54"/>
      <c r="L34" s="54"/>
      <c r="M34" s="97"/>
      <c r="N34" s="98">
        <f>SUM(N27:N33)</f>
        <v>4749.4671382700444</v>
      </c>
      <c r="O34" s="98">
        <f>SUM(O27:O33)</f>
        <v>4727.3593855037579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4" t="s">
        <v>106</v>
      </c>
      <c r="D35" s="295">
        <f>SUM(D28:D34)</f>
        <v>4749.4671382700444</v>
      </c>
      <c r="E35" s="296">
        <f>SUM(E28:E34)</f>
        <v>4727.3593855037579</v>
      </c>
      <c r="F35" s="297">
        <f t="shared" si="2"/>
        <v>-4.654785920750526E-3</v>
      </c>
      <c r="G35" s="298">
        <f>SUM(G28:G34)</f>
        <v>52011.253204771725</v>
      </c>
      <c r="H35" s="296">
        <f>SUM(H28:H34)</f>
        <v>47884.654792733774</v>
      </c>
      <c r="I35" s="299">
        <f t="shared" si="3"/>
        <v>-7.9340491869927865E-2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0"/>
      <c r="N39" s="22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0">
        <f t="shared" ref="M40:N46" si="5">N27/N$34</f>
        <v>0.55158095063724832</v>
      </c>
      <c r="N40" s="220">
        <f t="shared" si="5"/>
        <v>0.39331199246855647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0">
        <f t="shared" si="5"/>
        <v>0.37059931077681291</v>
      </c>
      <c r="N41" s="220">
        <f t="shared" si="5"/>
        <v>0.52229735606667727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0">
        <f t="shared" si="5"/>
        <v>2.4169925959062196E-2</v>
      </c>
      <c r="N42" s="220">
        <f t="shared" si="5"/>
        <v>2.1200746877596443E-2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0">
        <f t="shared" si="5"/>
        <v>8.087160822759251E-5</v>
      </c>
      <c r="N43" s="220">
        <f t="shared" si="5"/>
        <v>6.3586864504055769E-5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0">
        <f t="shared" si="5"/>
        <v>1.0544634280434619E-2</v>
      </c>
      <c r="N44" s="220">
        <f t="shared" si="5"/>
        <v>1.272021411317513E-2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0">
        <f t="shared" si="5"/>
        <v>2.7193678414847159E-2</v>
      </c>
      <c r="N45" s="220">
        <f t="shared" si="5"/>
        <v>3.3162294902568376E-2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0">
        <f t="shared" si="5"/>
        <v>1.5830628323367305E-2</v>
      </c>
      <c r="N46" s="220">
        <f t="shared" si="5"/>
        <v>1.7243808706922194E-2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0">
        <f>N34/N$34</f>
        <v>1</v>
      </c>
      <c r="N47" s="22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1">
        <f>SUM(M39:M46)</f>
        <v>1.0000000000000002</v>
      </c>
      <c r="N49" s="221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5" t="s">
        <v>91</v>
      </c>
      <c r="D53" s="397" t="s">
        <v>126</v>
      </c>
      <c r="E53" s="397"/>
      <c r="F53" s="398" t="s">
        <v>74</v>
      </c>
      <c r="G53" s="400" t="s">
        <v>127</v>
      </c>
      <c r="H53" s="401"/>
      <c r="I53" s="398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6"/>
      <c r="D54" s="95">
        <v>2019</v>
      </c>
      <c r="E54" s="96">
        <v>2020</v>
      </c>
      <c r="F54" s="399"/>
      <c r="G54" s="231">
        <v>2019</v>
      </c>
      <c r="H54" s="96">
        <v>2020</v>
      </c>
      <c r="I54" s="399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1" t="s">
        <v>42</v>
      </c>
      <c r="D55" s="282">
        <f>SUM(D28:D30,D34)</f>
        <v>4495.0432132700444</v>
      </c>
      <c r="E55" s="283">
        <f>SUM(E28:E30,E34)</f>
        <v>4428.9385949452217</v>
      </c>
      <c r="F55" s="166">
        <f>+E55/D55-1</f>
        <v>-1.4706114087996269E-2</v>
      </c>
      <c r="G55" s="284">
        <f>SUM(G28:G30,G34)</f>
        <v>49307.380392301733</v>
      </c>
      <c r="H55" s="283">
        <f>SUM(H28:H30,H34)</f>
        <v>45039.994393610243</v>
      </c>
      <c r="I55" s="166">
        <f>+H55/G55-1</f>
        <v>-8.6546597380333545E-2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5" t="s">
        <v>123</v>
      </c>
      <c r="D56" s="286">
        <f>SUM(D31:D33)</f>
        <v>254.42392500000005</v>
      </c>
      <c r="E56" s="287">
        <f>SUM(E31:E33)</f>
        <v>298.42079055853588</v>
      </c>
      <c r="F56" s="355">
        <f>+E56/D56-1</f>
        <v>0.17292739100120325</v>
      </c>
      <c r="G56" s="288">
        <f>SUM(G31:G33)</f>
        <v>2703.8728124700001</v>
      </c>
      <c r="H56" s="287">
        <f>SUM(H31:H33)</f>
        <v>2844.6603991235361</v>
      </c>
      <c r="I56" s="356">
        <f>+H56/G56-1</f>
        <v>5.2068864335717668E-2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4749.4671382700444</v>
      </c>
      <c r="E57" s="101">
        <f>SUM(E55:E56)</f>
        <v>4727.3593855037579</v>
      </c>
      <c r="F57" s="102">
        <f>+E57/D57-1</f>
        <v>-4.654785920750526E-3</v>
      </c>
      <c r="G57" s="248">
        <f>SUM(G55:G56)</f>
        <v>52011.253204771732</v>
      </c>
      <c r="H57" s="101">
        <f>SUM(H55:H56)</f>
        <v>47884.654792733782</v>
      </c>
      <c r="I57" s="102">
        <f>+H57/G57-1</f>
        <v>-7.9340491869927865E-2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5.3568941018649084E-2</v>
      </c>
      <c r="E58" s="104">
        <f>+E56/E57</f>
        <v>6.3126317722665692E-2</v>
      </c>
      <c r="F58" s="105"/>
      <c r="G58" s="249">
        <f>+G56/G57</f>
        <v>5.1986303845144334E-2</v>
      </c>
      <c r="H58" s="104">
        <f>+H56/H57</f>
        <v>5.9406513661558163E-2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7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4495.0432132700444</v>
      </c>
      <c r="N63" s="76">
        <f>E55</f>
        <v>4428.9385949452217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254.42392500000005</v>
      </c>
      <c r="N64" s="76">
        <f>E56</f>
        <v>298.42079055853588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7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09"/>
      <c r="D76" s="397" t="s">
        <v>126</v>
      </c>
      <c r="E76" s="397"/>
      <c r="F76" s="106" t="s">
        <v>74</v>
      </c>
      <c r="G76" s="400" t="s">
        <v>127</v>
      </c>
      <c r="H76" s="401"/>
      <c r="I76" s="218" t="s">
        <v>74</v>
      </c>
      <c r="J76" s="19"/>
      <c r="K76" s="57"/>
      <c r="L76" s="57"/>
      <c r="M76" s="55" t="s">
        <v>96</v>
      </c>
      <c r="N76" s="70">
        <f>D78</f>
        <v>2.9321325900000001</v>
      </c>
      <c r="O76" s="70">
        <f>E78</f>
        <v>2.6355494825000005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3">
        <v>2020</v>
      </c>
      <c r="F77" s="107"/>
      <c r="G77" s="328">
        <v>2019</v>
      </c>
      <c r="H77" s="96">
        <v>2020</v>
      </c>
      <c r="I77" s="219"/>
      <c r="J77" s="19"/>
      <c r="K77" s="57"/>
      <c r="L77" s="57"/>
      <c r="M77" s="55" t="s">
        <v>97</v>
      </c>
      <c r="N77" s="70">
        <f>D79</f>
        <v>4516.139435557363</v>
      </c>
      <c r="O77" s="70">
        <f>E79</f>
        <v>4506.7401419339494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367">
        <v>2.9321325900000001</v>
      </c>
      <c r="E78" s="366">
        <v>2.6355494825000005</v>
      </c>
      <c r="F78" s="156">
        <f>((E78/D78)-1)</f>
        <v>-0.1011492824408734</v>
      </c>
      <c r="G78" s="227">
        <v>191.64180984750001</v>
      </c>
      <c r="H78" s="316">
        <v>42.49809197750001</v>
      </c>
      <c r="I78" s="156">
        <f>((H78/G78)-1)</f>
        <v>-0.77824206517712347</v>
      </c>
      <c r="J78" s="19"/>
      <c r="K78" s="252"/>
      <c r="L78" s="57"/>
    </row>
    <row r="79" spans="2:28" ht="16.5" customHeight="1" thickBot="1">
      <c r="C79" s="289" t="s">
        <v>97</v>
      </c>
      <c r="D79" s="158">
        <f>'Resumen (G)'!E40-D78</f>
        <v>4516.139435557363</v>
      </c>
      <c r="E79" s="314">
        <f>'Resumen (G)'!F40-E78</f>
        <v>4506.7401419339494</v>
      </c>
      <c r="F79" s="159">
        <f>((E79/D79)-1)</f>
        <v>-2.0812673650881797E-3</v>
      </c>
      <c r="G79" s="228">
        <f>'Resumen (G)'!H40-G78</f>
        <v>49539.652098177641</v>
      </c>
      <c r="H79" s="314">
        <f>'Resumen (G)'!I40-H78</f>
        <v>45889.219203352332</v>
      </c>
      <c r="I79" s="159">
        <f>((H79/G79)-1)</f>
        <v>-7.3687091859080622E-2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2">
        <f>SUM(D78:D79)</f>
        <v>4519.071568147363</v>
      </c>
      <c r="E80" s="315">
        <f>SUM(E78:E79)</f>
        <v>4509.3756914164496</v>
      </c>
      <c r="F80" s="128"/>
      <c r="G80" s="250">
        <f>SUM(G78:G79)</f>
        <v>49731.293908025138</v>
      </c>
      <c r="H80" s="315">
        <f>SUM(H78:H79)</f>
        <v>45931.717295329829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28" zoomScale="70" zoomScaleNormal="100" zoomScaleSheetLayoutView="7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9" t="s">
        <v>126</v>
      </c>
      <c r="E8" s="410"/>
      <c r="F8" s="398" t="s">
        <v>74</v>
      </c>
      <c r="G8" s="400" t="s">
        <v>127</v>
      </c>
      <c r="H8" s="401"/>
      <c r="I8" s="398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399"/>
      <c r="G9" s="231">
        <v>2019</v>
      </c>
      <c r="H9" s="96">
        <v>2020</v>
      </c>
      <c r="I9" s="399"/>
      <c r="J9" s="26"/>
    </row>
    <row r="10" spans="2:13">
      <c r="C10" s="192" t="s">
        <v>10</v>
      </c>
      <c r="D10" s="193">
        <f>'Por Región (G)'!O8</f>
        <v>322.2365548796634</v>
      </c>
      <c r="E10" s="194">
        <f>'Por Región (G)'!P8</f>
        <v>302.94091347001853</v>
      </c>
      <c r="F10" s="357">
        <f>+E10/D10-1</f>
        <v>-5.9880361546351124E-2</v>
      </c>
      <c r="G10" s="324">
        <f>'Por Región (G)'!Q8</f>
        <v>3179.5156095353873</v>
      </c>
      <c r="H10" s="194">
        <f>'Por Región (G)'!R8</f>
        <v>3062.767206825808</v>
      </c>
      <c r="I10" s="357">
        <f>+H10/G10-1</f>
        <v>-3.6718927360963494E-2</v>
      </c>
      <c r="J10" s="26"/>
      <c r="L10" s="144" t="s">
        <v>9</v>
      </c>
      <c r="M10" s="224">
        <f>E11</f>
        <v>3858.0665125972741</v>
      </c>
    </row>
    <row r="11" spans="2:13">
      <c r="C11" s="195" t="s">
        <v>9</v>
      </c>
      <c r="D11" s="196">
        <f>'Por Región (G)'!O9</f>
        <v>3745.5720692636655</v>
      </c>
      <c r="E11" s="197">
        <f>'Por Región (G)'!P9</f>
        <v>3858.0665125972741</v>
      </c>
      <c r="F11" s="358">
        <f>+E11/D11-1</f>
        <v>3.0033981793260223E-2</v>
      </c>
      <c r="G11" s="325">
        <f>'Por Región (G)'!Q9</f>
        <v>41806.729713867673</v>
      </c>
      <c r="H11" s="197">
        <f>'Por Región (G)'!R9</f>
        <v>38156.584126985726</v>
      </c>
      <c r="I11" s="358">
        <f>+H11/G11-1</f>
        <v>-8.7310000372288421E-2</v>
      </c>
      <c r="J11" s="26"/>
      <c r="L11" s="144" t="s">
        <v>12</v>
      </c>
      <c r="M11" s="224">
        <f>E12</f>
        <v>528.9050034332754</v>
      </c>
    </row>
    <row r="12" spans="2:13">
      <c r="C12" s="195" t="s">
        <v>12</v>
      </c>
      <c r="D12" s="196">
        <f>'Por Región (G)'!O10</f>
        <v>604.19338739338309</v>
      </c>
      <c r="E12" s="197">
        <f>'Por Región (G)'!P10</f>
        <v>528.9050034332754</v>
      </c>
      <c r="F12" s="358">
        <f>+E12/D12-1</f>
        <v>-0.12460974504358213</v>
      </c>
      <c r="G12" s="325">
        <f>'Por Región (G)'!Q10</f>
        <v>6248.1812413020107</v>
      </c>
      <c r="H12" s="197">
        <f>'Por Región (G)'!R10</f>
        <v>6194.7603007300868</v>
      </c>
      <c r="I12" s="358">
        <f>+H12/G12-1</f>
        <v>-8.5498385064117777E-3</v>
      </c>
      <c r="J12" s="26"/>
      <c r="L12" s="144" t="s">
        <v>10</v>
      </c>
      <c r="M12" s="224">
        <f>E10</f>
        <v>302.94091347001853</v>
      </c>
    </row>
    <row r="13" spans="2:13">
      <c r="C13" s="198" t="s">
        <v>11</v>
      </c>
      <c r="D13" s="199">
        <f>'Por Región (G)'!O11</f>
        <v>77.465126733333335</v>
      </c>
      <c r="E13" s="200">
        <f>'Por Región (G)'!P11</f>
        <v>37.446956003190685</v>
      </c>
      <c r="F13" s="359">
        <f>+E13/D13-1</f>
        <v>-0.51659594991565139</v>
      </c>
      <c r="G13" s="326">
        <f>'Por Región (G)'!Q11</f>
        <v>776.82664006666653</v>
      </c>
      <c r="H13" s="200">
        <f>'Por Región (G)'!R11</f>
        <v>470.54315819215066</v>
      </c>
      <c r="I13" s="359">
        <f>+H13/G13-1</f>
        <v>-0.39427520385787862</v>
      </c>
      <c r="J13" s="26"/>
      <c r="L13" s="144" t="s">
        <v>11</v>
      </c>
      <c r="M13" s="224">
        <f>E13</f>
        <v>37.446956003190685</v>
      </c>
    </row>
    <row r="14" spans="2:13" ht="13.5" thickBot="1">
      <c r="C14" s="203" t="s">
        <v>106</v>
      </c>
      <c r="D14" s="204">
        <f>SUM(D10:D13)</f>
        <v>4749.4671382700444</v>
      </c>
      <c r="E14" s="205">
        <f>SUM(E10:E13)</f>
        <v>4727.3593855037579</v>
      </c>
      <c r="F14" s="206">
        <f>+E14/D14-1</f>
        <v>-4.654785920750526E-3</v>
      </c>
      <c r="G14" s="327">
        <f>SUM(G10:G13)</f>
        <v>52011.25320477174</v>
      </c>
      <c r="H14" s="205">
        <f>SUM(H10:H13)</f>
        <v>47884.654792733774</v>
      </c>
      <c r="I14" s="206">
        <f>+H14/G14-1</f>
        <v>-7.9340491869928087E-2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6" t="s">
        <v>93</v>
      </c>
      <c r="D18" s="406"/>
      <c r="E18" s="406"/>
      <c r="F18" s="406"/>
      <c r="G18" s="407" t="s">
        <v>105</v>
      </c>
      <c r="H18" s="408"/>
      <c r="I18" s="408"/>
      <c r="J18" s="408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2" t="s">
        <v>13</v>
      </c>
      <c r="D54" s="404" t="s">
        <v>131</v>
      </c>
      <c r="E54" s="405"/>
      <c r="F54" s="405"/>
      <c r="G54" s="405"/>
      <c r="H54" s="405"/>
      <c r="I54" s="19"/>
      <c r="J54" s="19"/>
    </row>
    <row r="55" spans="3:13">
      <c r="C55" s="403"/>
      <c r="D55" s="113" t="s">
        <v>14</v>
      </c>
      <c r="E55" s="332" t="s">
        <v>15</v>
      </c>
      <c r="F55" s="332" t="s">
        <v>5</v>
      </c>
      <c r="G55" s="114" t="s">
        <v>16</v>
      </c>
      <c r="H55" s="343" t="s">
        <v>71</v>
      </c>
      <c r="I55" s="19"/>
      <c r="J55" s="19"/>
    </row>
    <row r="56" spans="3:13">
      <c r="C56" s="208" t="s">
        <v>10</v>
      </c>
      <c r="D56" s="321">
        <f>'Resumen (G)'!F14-'PorZona (G)'!D58</f>
        <v>91.656741977500033</v>
      </c>
      <c r="E56" s="333">
        <v>67.299571365538711</v>
      </c>
      <c r="F56" s="333">
        <v>0</v>
      </c>
      <c r="G56" s="212">
        <v>143.98460012697979</v>
      </c>
      <c r="H56" s="344">
        <f>SUM(D56:G56)</f>
        <v>302.94091347001853</v>
      </c>
      <c r="I56" s="318"/>
      <c r="K56" s="300"/>
      <c r="L56" s="313"/>
      <c r="M56" s="349"/>
    </row>
    <row r="57" spans="3:13">
      <c r="C57" s="209" t="s">
        <v>9</v>
      </c>
      <c r="D57" s="322">
        <v>0</v>
      </c>
      <c r="E57" s="370">
        <v>1516.0947742653827</v>
      </c>
      <c r="F57" s="372">
        <v>6.4619999999999999E-3</v>
      </c>
      <c r="G57" s="213">
        <v>2341.9652763318913</v>
      </c>
      <c r="H57" s="345">
        <f>SUM(D57:G57)</f>
        <v>3858.0665125972741</v>
      </c>
      <c r="I57" s="318"/>
      <c r="K57" s="300"/>
      <c r="L57" s="313"/>
      <c r="M57" s="349"/>
    </row>
    <row r="58" spans="3:13">
      <c r="C58" s="209" t="s">
        <v>12</v>
      </c>
      <c r="D58" s="322">
        <v>65.113344075000001</v>
      </c>
      <c r="E58" s="334">
        <v>275.9327933964924</v>
      </c>
      <c r="F58" s="334">
        <f>'Resumen (G)'!D15-F57</f>
        <v>81.511218932500057</v>
      </c>
      <c r="G58" s="213">
        <v>106.34764702928294</v>
      </c>
      <c r="H58" s="345">
        <f>SUM(D58:G58)</f>
        <v>528.9050034332754</v>
      </c>
      <c r="I58" s="318"/>
      <c r="K58" s="300"/>
      <c r="L58" s="313"/>
      <c r="M58" s="349"/>
    </row>
    <row r="59" spans="3:13">
      <c r="C59" s="210" t="s">
        <v>11</v>
      </c>
      <c r="D59" s="323">
        <v>0</v>
      </c>
      <c r="E59" s="335">
        <v>0</v>
      </c>
      <c r="F59" s="335">
        <v>0</v>
      </c>
      <c r="G59" s="214">
        <f>E13</f>
        <v>37.446956003190685</v>
      </c>
      <c r="H59" s="346">
        <f>SUM(D59:G59)</f>
        <v>37.446956003190685</v>
      </c>
      <c r="I59" s="318"/>
      <c r="K59" s="19"/>
      <c r="L59" s="313"/>
      <c r="M59" s="313"/>
    </row>
    <row r="60" spans="3:13" ht="13.5" thickBot="1">
      <c r="C60" s="115" t="s">
        <v>106</v>
      </c>
      <c r="D60" s="215">
        <f>SUM(D56:D59)</f>
        <v>156.77008605250003</v>
      </c>
      <c r="E60" s="336">
        <f>SUM(E56:E59)</f>
        <v>1859.3271390274138</v>
      </c>
      <c r="F60" s="336">
        <f>SUM(F56:F59)</f>
        <v>81.517680932500056</v>
      </c>
      <c r="G60" s="216">
        <f>SUM(G56:G59)</f>
        <v>2629.7444794913449</v>
      </c>
      <c r="H60" s="347">
        <f>SUM(H56:H59)</f>
        <v>4727.3593855037579</v>
      </c>
      <c r="I60" s="19"/>
      <c r="J60" s="19"/>
      <c r="M60" s="313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0"/>
      <c r="G63" s="19"/>
      <c r="H63" s="19"/>
      <c r="I63" s="19"/>
      <c r="J63" s="19"/>
    </row>
    <row r="64" spans="3:13">
      <c r="F64" s="300"/>
      <c r="H64" s="121"/>
    </row>
    <row r="65" spans="5:6">
      <c r="F65" s="300"/>
    </row>
    <row r="67" spans="5:6">
      <c r="E67" s="319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70" zoomScaleNormal="100" zoomScaleSheetLayoutView="70" workbookViewId="0">
      <selection activeCell="C3" sqref="C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9" t="s">
        <v>126</v>
      </c>
      <c r="E6" s="410"/>
      <c r="F6" s="398" t="s">
        <v>74</v>
      </c>
      <c r="G6" s="400" t="s">
        <v>127</v>
      </c>
      <c r="H6" s="401"/>
      <c r="I6" s="398" t="s">
        <v>74</v>
      </c>
      <c r="O6" s="47"/>
      <c r="P6" s="86"/>
      <c r="Q6" s="411" t="s">
        <v>114</v>
      </c>
      <c r="R6" s="411"/>
    </row>
    <row r="7" spans="3:19" ht="12.75" customHeight="1">
      <c r="C7" s="109"/>
      <c r="D7" s="110">
        <v>2019</v>
      </c>
      <c r="E7" s="96">
        <v>2020</v>
      </c>
      <c r="F7" s="399"/>
      <c r="G7" s="231">
        <v>2019</v>
      </c>
      <c r="H7" s="96">
        <v>2020</v>
      </c>
      <c r="I7" s="399"/>
      <c r="N7" s="54"/>
      <c r="O7" s="310">
        <v>2019</v>
      </c>
      <c r="P7" s="312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374">
        <v>3.0547759999999999</v>
      </c>
      <c r="E8" s="375">
        <v>3.0646093546624478</v>
      </c>
      <c r="F8" s="376">
        <f>+E8/D8-1</f>
        <v>3.2190100558757706E-3</v>
      </c>
      <c r="G8" s="232">
        <v>50.051036999999994</v>
      </c>
      <c r="H8" s="277">
        <v>33.854994899616145</v>
      </c>
      <c r="I8" s="360">
        <f>+H8/G8-1</f>
        <v>-0.32359054019967359</v>
      </c>
      <c r="J8" s="26"/>
      <c r="K8" s="46"/>
      <c r="L8" s="46"/>
      <c r="N8" s="57" t="s">
        <v>10</v>
      </c>
      <c r="O8" s="71">
        <f>SUM(D8,D13,D20,D21,D27,D29,D31)</f>
        <v>322.2365548796634</v>
      </c>
      <c r="P8" s="71">
        <f t="shared" ref="P8" si="0">SUM(E8,E13,E20,E21,E27,E29,E31)</f>
        <v>302.94091347001853</v>
      </c>
      <c r="Q8" s="71">
        <f>SUM(G8,G13,G20,G21,G27,G29,G31)</f>
        <v>3179.5156095353873</v>
      </c>
      <c r="R8" s="71">
        <f>SUM(H8,H13,H20,H21,H27,H29,H31)</f>
        <v>3062.767206825808</v>
      </c>
    </row>
    <row r="9" spans="3:19" ht="20.100000000000001" customHeight="1">
      <c r="C9" s="118" t="s">
        <v>18</v>
      </c>
      <c r="D9" s="217">
        <v>191.16056670000003</v>
      </c>
      <c r="E9" s="278">
        <v>147.68388325741969</v>
      </c>
      <c r="F9" s="361">
        <f t="shared" ref="F9:F32" si="1">+E9/D9-1</f>
        <v>-0.22743541826181624</v>
      </c>
      <c r="G9" s="233">
        <v>1995.0719406999999</v>
      </c>
      <c r="H9" s="278">
        <v>1911.3134025193667</v>
      </c>
      <c r="I9" s="362">
        <f t="shared" ref="I9:I32" si="2">+H9/G9-1</f>
        <v>-4.198271574670398E-2</v>
      </c>
      <c r="J9" s="26"/>
      <c r="K9" s="46"/>
      <c r="L9" s="46"/>
      <c r="N9" s="57" t="s">
        <v>9</v>
      </c>
      <c r="O9" s="310">
        <f>SUM(D9,D14,D16,D17,D19,D22,D26,D32)</f>
        <v>3745.5720692636655</v>
      </c>
      <c r="P9" s="310">
        <f>SUM(E9,E14,E16,E17,E19,E22,E26,E32)</f>
        <v>3858.0665125972741</v>
      </c>
      <c r="Q9" s="310">
        <f>SUM(G9,G14,G16,G17,G19,G22,G26,G32)</f>
        <v>41806.729713867673</v>
      </c>
      <c r="R9" s="310">
        <f>SUM(H9,H14,H16,H17,H19,H22,H26,H32)</f>
        <v>38156.584126985726</v>
      </c>
    </row>
    <row r="10" spans="3:19" ht="20.100000000000001" customHeight="1">
      <c r="C10" s="119" t="s">
        <v>19</v>
      </c>
      <c r="D10" s="217">
        <v>4.022771902863397</v>
      </c>
      <c r="E10" s="278">
        <v>2.6289930000000004</v>
      </c>
      <c r="F10" s="361">
        <f t="shared" si="1"/>
        <v>-0.3464722675106956</v>
      </c>
      <c r="G10" s="233">
        <v>39.798191462771797</v>
      </c>
      <c r="H10" s="278">
        <v>41.604232175149569</v>
      </c>
      <c r="I10" s="361">
        <f t="shared" si="2"/>
        <v>4.5379969440751733E-2</v>
      </c>
      <c r="J10" s="26"/>
      <c r="K10" s="46"/>
      <c r="L10" s="46"/>
      <c r="N10" s="54" t="s">
        <v>12</v>
      </c>
      <c r="O10" s="310">
        <f>SUM(D10,D11,D12,D15,D18,D24,D25,D28,D30)</f>
        <v>604.19338739338309</v>
      </c>
      <c r="P10" s="310">
        <f t="shared" ref="P10" si="3">SUM(E10,E11,E12,E15,E18,E24,E25,E28,E30)</f>
        <v>528.9050034332754</v>
      </c>
      <c r="Q10" s="310">
        <f>SUM(G10,G11,G12,G15,G18,G24,G25,G28,G30)</f>
        <v>6248.1812413020107</v>
      </c>
      <c r="R10" s="310">
        <f>SUM(H10,H11,H12,H15,H18,H24,H25,H28,H30)</f>
        <v>6194.7603007300868</v>
      </c>
    </row>
    <row r="11" spans="3:19" ht="20.100000000000001" customHeight="1">
      <c r="C11" s="118" t="s">
        <v>20</v>
      </c>
      <c r="D11" s="217">
        <v>102.50493940280681</v>
      </c>
      <c r="E11" s="278">
        <v>91.686701379358723</v>
      </c>
      <c r="F11" s="362">
        <f t="shared" si="1"/>
        <v>-0.10553869975900754</v>
      </c>
      <c r="G11" s="233">
        <v>1103.8239592640628</v>
      </c>
      <c r="H11" s="278">
        <v>1152.0664361277404</v>
      </c>
      <c r="I11" s="361">
        <f t="shared" si="2"/>
        <v>4.3704864764705587E-2</v>
      </c>
      <c r="J11" s="26"/>
      <c r="K11" s="46"/>
      <c r="L11" s="46"/>
      <c r="N11" s="311" t="s">
        <v>11</v>
      </c>
      <c r="O11" s="71">
        <f>D23</f>
        <v>77.465126733333335</v>
      </c>
      <c r="P11" s="71">
        <f t="shared" ref="P11" si="4">E23</f>
        <v>37.446956003190685</v>
      </c>
      <c r="Q11" s="71">
        <f>G23</f>
        <v>776.82664006666653</v>
      </c>
      <c r="R11" s="71">
        <f>H23</f>
        <v>470.54315819215066</v>
      </c>
    </row>
    <row r="12" spans="3:19" ht="20.100000000000001" customHeight="1">
      <c r="C12" s="118" t="s">
        <v>21</v>
      </c>
      <c r="D12" s="330">
        <v>0.9441937660462606</v>
      </c>
      <c r="E12" s="305">
        <v>1.0051386666666666</v>
      </c>
      <c r="F12" s="361">
        <f t="shared" si="1"/>
        <v>6.4547027116698796E-2</v>
      </c>
      <c r="G12" s="233">
        <v>8.660576251843171</v>
      </c>
      <c r="H12" s="278">
        <v>10.479244400278862</v>
      </c>
      <c r="I12" s="361">
        <f t="shared" si="2"/>
        <v>0.20999389596606077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7">
        <v>118.07020772966167</v>
      </c>
      <c r="E13" s="278">
        <v>40.697520481979936</v>
      </c>
      <c r="F13" s="361">
        <f t="shared" si="1"/>
        <v>-0.65531084204439938</v>
      </c>
      <c r="G13" s="233">
        <v>1029.0499501312058</v>
      </c>
      <c r="H13" s="278">
        <v>916.75549376955064</v>
      </c>
      <c r="I13" s="361">
        <f t="shared" si="2"/>
        <v>-0.10912439804048135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7">
        <v>263.51941746531077</v>
      </c>
      <c r="E14" s="278">
        <v>339.35967263447742</v>
      </c>
      <c r="F14" s="361">
        <f t="shared" si="1"/>
        <v>0.28779759722696774</v>
      </c>
      <c r="G14" s="233">
        <v>3094.265465515919</v>
      </c>
      <c r="H14" s="278">
        <v>2457.3900482375857</v>
      </c>
      <c r="I14" s="361">
        <f t="shared" si="2"/>
        <v>-0.20582442727555195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7">
        <v>190.16117806666668</v>
      </c>
      <c r="E15" s="278">
        <v>163.21819100850001</v>
      </c>
      <c r="F15" s="361">
        <f t="shared" si="1"/>
        <v>-0.14168500285963204</v>
      </c>
      <c r="G15" s="233">
        <v>1885.2857777333334</v>
      </c>
      <c r="H15" s="278">
        <v>1756.690701958167</v>
      </c>
      <c r="I15" s="362">
        <f t="shared" si="2"/>
        <v>-6.820985831112325E-2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7">
        <v>827.30438900000013</v>
      </c>
      <c r="E16" s="278">
        <v>642.24870860561998</v>
      </c>
      <c r="F16" s="362">
        <f t="shared" si="1"/>
        <v>-0.22368511862733531</v>
      </c>
      <c r="G16" s="233">
        <v>9300.8648252858311</v>
      </c>
      <c r="H16" s="278">
        <v>9268.3247053449104</v>
      </c>
      <c r="I16" s="362">
        <f t="shared" si="2"/>
        <v>-3.4986122852205259E-3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7">
        <v>197.82075728833334</v>
      </c>
      <c r="E17" s="278">
        <v>80.796845414166626</v>
      </c>
      <c r="F17" s="361">
        <f t="shared" si="1"/>
        <v>-0.59156538210799936</v>
      </c>
      <c r="G17" s="233">
        <v>2153.134567621667</v>
      </c>
      <c r="H17" s="278">
        <v>1946.9181319305003</v>
      </c>
      <c r="I17" s="362">
        <f t="shared" si="2"/>
        <v>-9.5774987217334684E-2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7">
        <v>122.34879206666668</v>
      </c>
      <c r="E18" s="278">
        <v>104.35874529833332</v>
      </c>
      <c r="F18" s="361">
        <f t="shared" si="1"/>
        <v>-0.14703902232668353</v>
      </c>
      <c r="G18" s="233">
        <v>1537.2550967333336</v>
      </c>
      <c r="H18" s="278">
        <v>1476.88512728</v>
      </c>
      <c r="I18" s="361">
        <f t="shared" si="2"/>
        <v>-3.927127617375914E-2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7">
        <v>276.95561146666665</v>
      </c>
      <c r="E19" s="278">
        <v>143.50149830500001</v>
      </c>
      <c r="F19" s="361">
        <f t="shared" si="1"/>
        <v>-0.48186101900928147</v>
      </c>
      <c r="G19" s="233">
        <v>2648.1755211333329</v>
      </c>
      <c r="H19" s="278">
        <v>2521.3432853066665</v>
      </c>
      <c r="I19" s="362">
        <f t="shared" si="2"/>
        <v>-4.7894195386409377E-2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7">
        <v>69.603908934996426</v>
      </c>
      <c r="E20" s="278">
        <v>114.84721106840725</v>
      </c>
      <c r="F20" s="362">
        <f t="shared" si="1"/>
        <v>0.65001093797280629</v>
      </c>
      <c r="G20" s="233">
        <v>676.03371828912282</v>
      </c>
      <c r="H20" s="278">
        <v>761.88944248452867</v>
      </c>
      <c r="I20" s="361">
        <f t="shared" si="2"/>
        <v>0.12699917455698184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0">
        <v>4.9168522666666679</v>
      </c>
      <c r="E21" s="305">
        <v>4.6087752841666676</v>
      </c>
      <c r="F21" s="361">
        <f t="shared" si="1"/>
        <v>-6.2657359991997064E-2</v>
      </c>
      <c r="G21" s="233">
        <v>58.724284683333337</v>
      </c>
      <c r="H21" s="278">
        <v>54.317327378333346</v>
      </c>
      <c r="I21" s="361">
        <f t="shared" si="2"/>
        <v>-7.5044886945225597E-2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7">
        <v>1890.4422070100213</v>
      </c>
      <c r="E22" s="278">
        <v>2421.1250742680904</v>
      </c>
      <c r="F22" s="361">
        <f t="shared" si="1"/>
        <v>0.28071890549746703</v>
      </c>
      <c r="G22" s="233">
        <v>21402.950330602886</v>
      </c>
      <c r="H22" s="278">
        <v>19164.322021935866</v>
      </c>
      <c r="I22" s="361">
        <f t="shared" si="2"/>
        <v>-0.10459437947048489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7">
        <v>77.465126733333335</v>
      </c>
      <c r="E23" s="278">
        <v>37.446956003190685</v>
      </c>
      <c r="F23" s="361">
        <f t="shared" si="1"/>
        <v>-0.51659594991565139</v>
      </c>
      <c r="G23" s="233">
        <v>776.82664006666653</v>
      </c>
      <c r="H23" s="278">
        <v>470.54315819215066</v>
      </c>
      <c r="I23" s="361">
        <f t="shared" si="2"/>
        <v>-0.39427520385787862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30">
        <v>0.11706300000000001</v>
      </c>
      <c r="E24" s="278">
        <v>0.97468171458333341</v>
      </c>
      <c r="F24" s="361">
        <f t="shared" si="1"/>
        <v>7.3261296445788453</v>
      </c>
      <c r="G24" s="233">
        <v>1.8261550000000004</v>
      </c>
      <c r="H24" s="278">
        <v>6.4709911545833325</v>
      </c>
      <c r="I24" s="362">
        <f t="shared" si="2"/>
        <v>2.5435059754420251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7">
        <v>67.070499333333345</v>
      </c>
      <c r="E25" s="278">
        <v>77.033439304166706</v>
      </c>
      <c r="F25" s="362">
        <f t="shared" si="1"/>
        <v>0.14854429398711644</v>
      </c>
      <c r="G25" s="233">
        <v>639.26325766666662</v>
      </c>
      <c r="H25" s="278">
        <v>645.86472286000014</v>
      </c>
      <c r="I25" s="361">
        <f t="shared" si="2"/>
        <v>1.0326677021027519E-2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7">
        <v>81.562674999999999</v>
      </c>
      <c r="E26" s="278">
        <v>37.356618548333337</v>
      </c>
      <c r="F26" s="361">
        <f t="shared" si="1"/>
        <v>-0.54198880127051574</v>
      </c>
      <c r="G26" s="233">
        <v>871.18655934137507</v>
      </c>
      <c r="H26" s="278">
        <v>796.05864534833336</v>
      </c>
      <c r="I26" s="361">
        <f t="shared" si="2"/>
        <v>-8.6236309763363495E-2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7">
        <v>121.02184194833865</v>
      </c>
      <c r="E27" s="278">
        <v>135.88148561413556</v>
      </c>
      <c r="F27" s="362">
        <f t="shared" si="1"/>
        <v>0.12278480831699889</v>
      </c>
      <c r="G27" s="233">
        <v>1308.4880514317256</v>
      </c>
      <c r="H27" s="278">
        <v>1242.1278586271126</v>
      </c>
      <c r="I27" s="361">
        <f t="shared" si="2"/>
        <v>-5.0715169108348168E-2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7">
        <v>104.038347855</v>
      </c>
      <c r="E28" s="278">
        <v>60.446450755000022</v>
      </c>
      <c r="F28" s="361">
        <f t="shared" si="1"/>
        <v>-0.41899835972746069</v>
      </c>
      <c r="G28" s="233">
        <v>893.88639619000003</v>
      </c>
      <c r="H28" s="278">
        <v>947.21756992499991</v>
      </c>
      <c r="I28" s="361">
        <f t="shared" si="2"/>
        <v>5.9662138234022333E-2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7">
        <v>4.4684199999999992</v>
      </c>
      <c r="E29" s="278">
        <v>2.7407636666666662</v>
      </c>
      <c r="F29" s="361">
        <f t="shared" si="1"/>
        <v>-0.386636961908982</v>
      </c>
      <c r="G29" s="233">
        <v>44.780070000000002</v>
      </c>
      <c r="H29" s="278">
        <v>41.716061666666668</v>
      </c>
      <c r="I29" s="362">
        <f t="shared" si="2"/>
        <v>-6.8423482440588712E-2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7">
        <v>12.985601999999998</v>
      </c>
      <c r="E30" s="278">
        <v>27.552662306666665</v>
      </c>
      <c r="F30" s="361">
        <f t="shared" si="1"/>
        <v>1.1217855211230616</v>
      </c>
      <c r="G30" s="233">
        <v>138.38183100000001</v>
      </c>
      <c r="H30" s="278">
        <v>157.48127484916668</v>
      </c>
      <c r="I30" s="361">
        <f t="shared" si="2"/>
        <v>0.13801988101434115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17">
        <v>1.1005480000000003</v>
      </c>
      <c r="E31" s="278">
        <v>1.1005480000000003</v>
      </c>
      <c r="F31" s="362">
        <f>+E31/D31-1</f>
        <v>0</v>
      </c>
      <c r="G31" s="329">
        <v>12.388498000000006</v>
      </c>
      <c r="H31" s="305">
        <v>12.106028000000006</v>
      </c>
      <c r="I31" s="361">
        <f t="shared" si="2"/>
        <v>-2.2800988465268346E-2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16.806445333333333</v>
      </c>
      <c r="E32" s="279">
        <v>45.994211564166676</v>
      </c>
      <c r="F32" s="363">
        <f t="shared" si="1"/>
        <v>1.7367007509281764</v>
      </c>
      <c r="G32" s="234">
        <v>341.08050366666663</v>
      </c>
      <c r="H32" s="279">
        <v>90.913886362500023</v>
      </c>
      <c r="I32" s="363">
        <f t="shared" si="2"/>
        <v>-0.73345328922303654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7" t="s">
        <v>106</v>
      </c>
      <c r="D33" s="111">
        <f>SUM(D8:D32)</f>
        <v>4749.4671382700462</v>
      </c>
      <c r="E33" s="280">
        <f>SUM(E8:E32)</f>
        <v>4727.3593855037598</v>
      </c>
      <c r="F33" s="116">
        <f>+E33/D33-1</f>
        <v>-4.654785920750526E-3</v>
      </c>
      <c r="G33" s="235">
        <f>SUM(G8:G32)</f>
        <v>52011.253204771747</v>
      </c>
      <c r="H33" s="280">
        <f>SUM(H8:H32)</f>
        <v>47884.654792733782</v>
      </c>
      <c r="I33" s="236">
        <f>+H33/G33-1</f>
        <v>-7.9340491869928087E-2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2421.1250742680904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642.24870860561998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339.35967263447742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23</v>
      </c>
      <c r="O47" s="52">
        <v>163.21819100850001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147.68388325741969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27</v>
      </c>
      <c r="O49" s="53">
        <v>143.50149830500001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35</v>
      </c>
      <c r="O50" s="52">
        <v>135.88148561413556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28</v>
      </c>
      <c r="O51" s="53">
        <v>114.84721106840725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26</v>
      </c>
      <c r="O52" s="53">
        <v>104.35874529833332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91.686701379358723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25</v>
      </c>
      <c r="O54" s="53">
        <v>80.796845414166626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33</v>
      </c>
      <c r="O55" s="52">
        <v>77.033439304166706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60.446450755000022</v>
      </c>
      <c r="P56" s="8"/>
      <c r="S56" s="91"/>
    </row>
    <row r="57" spans="3:19">
      <c r="N57" s="51" t="s">
        <v>40</v>
      </c>
      <c r="O57" s="52">
        <v>45.994211564166676</v>
      </c>
      <c r="S57" s="91"/>
    </row>
    <row r="58" spans="3:19">
      <c r="N58" s="51" t="s">
        <v>22</v>
      </c>
      <c r="O58" s="52">
        <v>40.697520481979936</v>
      </c>
      <c r="S58" s="91"/>
    </row>
    <row r="59" spans="3:19">
      <c r="N59" s="51" t="s">
        <v>31</v>
      </c>
      <c r="O59" s="52">
        <v>37.446956003190685</v>
      </c>
      <c r="S59" s="91"/>
    </row>
    <row r="60" spans="3:19">
      <c r="N60" s="51" t="s">
        <v>34</v>
      </c>
      <c r="O60" s="52">
        <v>37.356618548333337</v>
      </c>
      <c r="S60" s="91"/>
    </row>
    <row r="61" spans="3:19">
      <c r="N61" s="51" t="s">
        <v>38</v>
      </c>
      <c r="O61" s="52">
        <v>27.552662306666665</v>
      </c>
      <c r="S61" s="91"/>
    </row>
    <row r="62" spans="3:19">
      <c r="N62" s="51" t="s">
        <v>29</v>
      </c>
      <c r="O62" s="52">
        <v>4.6087752841666676</v>
      </c>
      <c r="S62" s="91"/>
    </row>
    <row r="63" spans="3:19">
      <c r="N63" s="50" t="s">
        <v>17</v>
      </c>
      <c r="O63" s="53">
        <v>3.0646093546624478</v>
      </c>
      <c r="S63" s="91"/>
    </row>
    <row r="64" spans="3:19">
      <c r="N64" s="50" t="s">
        <v>37</v>
      </c>
      <c r="O64" s="53">
        <v>2.7407636666666662</v>
      </c>
      <c r="S64" s="91"/>
    </row>
    <row r="65" spans="6:19">
      <c r="N65" s="50" t="s">
        <v>19</v>
      </c>
      <c r="O65" s="53">
        <v>2.6289930000000004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1.0051386666666666</v>
      </c>
      <c r="S67" s="91"/>
    </row>
    <row r="68" spans="6:19">
      <c r="N68" s="9" t="s">
        <v>32</v>
      </c>
      <c r="O68" s="52">
        <v>0.97468171458333341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2020-12-14T21:44:42Z</dcterms:modified>
</cp:coreProperties>
</file>